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grupos\Jurídico\Licitação\2018\Pregão Presencial - 2018\"/>
    </mc:Choice>
  </mc:AlternateContent>
  <bookViews>
    <workbookView xWindow="0" yWindow="0" windowWidth="20490" windowHeight="7650" tabRatio="868"/>
  </bookViews>
  <sheets>
    <sheet name="SERVIÇOS" sheetId="42" r:id="rId1"/>
    <sheet name="QUANTITATIVOS" sheetId="55" r:id="rId2"/>
    <sheet name="COMPOSIÇÕES" sheetId="54" r:id="rId3"/>
    <sheet name="CRONOGRAMA" sheetId="47" r:id="rId4"/>
    <sheet name="BDI OBRAS" sheetId="48" r:id="rId5"/>
    <sheet name="BDI EQUIPAMENTOS" sheetId="49" r:id="rId6"/>
    <sheet name="ENCARGOS SOCIAIS" sheetId="50" r:id="rId7"/>
    <sheet name="QUANTITATIVO CHAOUI " sheetId="56" r:id="rId8"/>
  </sheets>
  <externalReferences>
    <externalReference r:id="rId9"/>
    <externalReference r:id="rId10"/>
    <externalReference r:id="rId11"/>
    <externalReference r:id="rId12"/>
  </externalReferences>
  <definedNames>
    <definedName name="\A" localSheetId="5">[3]SERVIÇO!#REF!</definedName>
    <definedName name="\A" localSheetId="3">[3]SERVIÇO!#REF!</definedName>
    <definedName name="\A">[3]SERVIÇO!#REF!</definedName>
    <definedName name="\B" localSheetId="5">[3]SERVIÇO!#REF!</definedName>
    <definedName name="\B" localSheetId="3">[3]SERVIÇO!#REF!</definedName>
    <definedName name="\B">[3]SERVIÇO!#REF!</definedName>
    <definedName name="\C" localSheetId="5">[3]SERVIÇO!#REF!</definedName>
    <definedName name="\C" localSheetId="3">[3]SERVIÇO!#REF!</definedName>
    <definedName name="\C">[3]SERVIÇO!#REF!</definedName>
    <definedName name="\I" localSheetId="5">[3]SERVIÇO!#REF!</definedName>
    <definedName name="\I" localSheetId="3">[3]SERVIÇO!#REF!</definedName>
    <definedName name="\I">[3]SERVIÇO!#REF!</definedName>
    <definedName name="\J" localSheetId="5">[3]SERVIÇO!#REF!</definedName>
    <definedName name="\J" localSheetId="3">[3]SERVIÇO!#REF!</definedName>
    <definedName name="\J">[3]SERVIÇO!#REF!</definedName>
    <definedName name="\O" localSheetId="5">[3]SERVIÇO!#REF!</definedName>
    <definedName name="\O" localSheetId="3">[3]SERVIÇO!#REF!</definedName>
    <definedName name="\O">[3]SERVIÇO!#REF!</definedName>
    <definedName name="\P" localSheetId="5">[3]SERVIÇO!#REF!</definedName>
    <definedName name="\P" localSheetId="3">[3]SERVIÇO!#REF!</definedName>
    <definedName name="\P">[3]SERVIÇO!#REF!</definedName>
    <definedName name="_ACR10" localSheetId="3">[3]SERVIÇO!#REF!</definedName>
    <definedName name="_ACR10">[3]SERVIÇO!#REF!</definedName>
    <definedName name="_ACR15" localSheetId="3">[3]SERVIÇO!#REF!</definedName>
    <definedName name="_ACR15">[3]SERVIÇO!#REF!</definedName>
    <definedName name="_acr20" localSheetId="3">[3]SERVIÇO!#REF!</definedName>
    <definedName name="_acr20">[3]SERVIÇO!#REF!</definedName>
    <definedName name="_acr5" localSheetId="3">[3]SERVIÇO!#REF!</definedName>
    <definedName name="_acr5">[3]SERVIÇO!#REF!</definedName>
    <definedName name="_ARQ1" localSheetId="3">[3]SERVIÇO!#REF!</definedName>
    <definedName name="_ARQ1">[3]SERVIÇO!#REF!</definedName>
    <definedName name="_xlnm._FilterDatabase" localSheetId="3" hidden="1">CRONOGRAMA!$C$115:$C$129</definedName>
    <definedName name="_QT100" localSheetId="3">[3]SERVIÇO!#REF!</definedName>
    <definedName name="_QT100">[3]SERVIÇO!#REF!</definedName>
    <definedName name="_QT2" localSheetId="3">[3]SERVIÇO!#REF!</definedName>
    <definedName name="_QT2">[3]SERVIÇO!#REF!</definedName>
    <definedName name="_QT3" localSheetId="3">[3]SERVIÇO!#REF!</definedName>
    <definedName name="_QT3">[3]SERVIÇO!#REF!</definedName>
    <definedName name="_QT4" localSheetId="3">[3]SERVIÇO!#REF!</definedName>
    <definedName name="_QT4">[3]SERVIÇO!#REF!</definedName>
    <definedName name="_QT50" localSheetId="3">[3]SERVIÇO!#REF!</definedName>
    <definedName name="_QT50">[3]SERVIÇO!#REF!</definedName>
    <definedName name="_QT75" localSheetId="3">[3]SERVIÇO!#REF!</definedName>
    <definedName name="_QT75">[3]SERVIÇO!#REF!</definedName>
    <definedName name="_T" localSheetId="5">[3]SERVIÇO!#REF!</definedName>
    <definedName name="_T" localSheetId="3">[3]SERVIÇO!#REF!</definedName>
    <definedName name="_T">[3]SERVIÇO!#REF!</definedName>
    <definedName name="AAAAA" localSheetId="5">#REF!</definedName>
    <definedName name="AAAAA" localSheetId="3">#REF!</definedName>
    <definedName name="AAAAA">#REF!</definedName>
    <definedName name="abebqt" localSheetId="5">[3]SERVIÇO!#REF!</definedName>
    <definedName name="abebqt" localSheetId="3">[3]SERVIÇO!#REF!</definedName>
    <definedName name="abebqt">[3]SERVIÇO!#REF!</definedName>
    <definedName name="ACADUC" localSheetId="5">[3]SERVIÇO!#REF!</definedName>
    <definedName name="ACADUC" localSheetId="3">[3]SERVIÇO!#REF!</definedName>
    <definedName name="ACADUC">[3]SERVIÇO!#REF!</definedName>
    <definedName name="ACBEB" localSheetId="5">[3]SERVIÇO!#REF!</definedName>
    <definedName name="ACBEB" localSheetId="3">[3]SERVIÇO!#REF!</definedName>
    <definedName name="ACBEB">[3]SERVIÇO!#REF!</definedName>
    <definedName name="ACBOMB" localSheetId="5">[3]SERVIÇO!#REF!</definedName>
    <definedName name="ACBOMB" localSheetId="3">[3]SERVIÇO!#REF!</definedName>
    <definedName name="ACBOMB">[3]SERVIÇO!#REF!</definedName>
    <definedName name="ACCHAF" localSheetId="5">[3]SERVIÇO!#REF!</definedName>
    <definedName name="ACCHAF" localSheetId="3">[3]SERVIÇO!#REF!</definedName>
    <definedName name="ACCHAF">[3]SERVIÇO!#REF!</definedName>
    <definedName name="ACDER" localSheetId="5">[3]SERVIÇO!#REF!</definedName>
    <definedName name="ACDER" localSheetId="3">[3]SERVIÇO!#REF!</definedName>
    <definedName name="ACDER">[3]SERVIÇO!#REF!</definedName>
    <definedName name="ACDIV" localSheetId="5">[3]SERVIÇO!#REF!</definedName>
    <definedName name="ACDIV" localSheetId="3">[3]SERVIÇO!#REF!</definedName>
    <definedName name="ACDIV">[3]SERVIÇO!#REF!</definedName>
    <definedName name="ACEQP" localSheetId="5">[3]SERVIÇO!#REF!</definedName>
    <definedName name="ACEQP" localSheetId="3">[3]SERVIÇO!#REF!</definedName>
    <definedName name="ACEQP">[3]SERVIÇO!#REF!</definedName>
    <definedName name="ACHAFQT" localSheetId="5">[3]SERVIÇO!#REF!</definedName>
    <definedName name="ACHAFQT" localSheetId="3">[3]SERVIÇO!#REF!</definedName>
    <definedName name="ACHAFQT">[3]SERVIÇO!#REF!</definedName>
    <definedName name="ACMUR" localSheetId="5">[3]SERVIÇO!#REF!</definedName>
    <definedName name="ACMUR" localSheetId="3">[3]SERVIÇO!#REF!</definedName>
    <definedName name="ACMUR">[3]SERVIÇO!#REF!</definedName>
    <definedName name="ACONT2" localSheetId="5">[3]SERVIÇO!#REF!</definedName>
    <definedName name="ACONT2" localSheetId="3">[3]SERVIÇO!#REF!</definedName>
    <definedName name="ACONT2">[3]SERVIÇO!#REF!</definedName>
    <definedName name="ACPIPA" localSheetId="5">[3]SERVIÇO!#REF!</definedName>
    <definedName name="ACPIPA" localSheetId="3">[3]SERVIÇO!#REF!</definedName>
    <definedName name="ACPIPA">[3]SERVIÇO!#REF!</definedName>
    <definedName name="_ACR10" localSheetId="5">[3]SERVIÇO!#REF!</definedName>
    <definedName name="__ACR10" localSheetId="3">[3]SERVIÇO!#REF!</definedName>
    <definedName name="__ACR10">[3]SERVIÇO!#REF!</definedName>
    <definedName name="_ACR15" localSheetId="5">[3]SERVIÇO!#REF!</definedName>
    <definedName name="__ACR15" localSheetId="3">[3]SERVIÇO!#REF!</definedName>
    <definedName name="__ACR15">[3]SERVIÇO!#REF!</definedName>
    <definedName name="_acr20" localSheetId="5">[3]SERVIÇO!#REF!</definedName>
    <definedName name="__acr20" localSheetId="3">[3]SERVIÇO!#REF!</definedName>
    <definedName name="__acr20">[3]SERVIÇO!#REF!</definedName>
    <definedName name="_acr5" localSheetId="5">[3]SERVIÇO!#REF!</definedName>
    <definedName name="__acr5" localSheetId="3">[3]SERVIÇO!#REF!</definedName>
    <definedName name="__acr5">[3]SERVIÇO!#REF!</definedName>
    <definedName name="ACTRANSP" localSheetId="5">[3]SERVIÇO!#REF!</definedName>
    <definedName name="ACTRANSP" localSheetId="3">[3]SERVIÇO!#REF!</definedName>
    <definedName name="ACTRANSP">[3]SERVIÇO!#REF!</definedName>
    <definedName name="ADUCQT" localSheetId="5">[3]SERVIÇO!#REF!</definedName>
    <definedName name="ADUCQT" localSheetId="3">[3]SERVIÇO!#REF!</definedName>
    <definedName name="ADUCQT">[3]SERVIÇO!#REF!</definedName>
    <definedName name="AITEM" localSheetId="5">[3]SERVIÇO!#REF!</definedName>
    <definedName name="AITEM" localSheetId="3">[3]SERVIÇO!#REF!</definedName>
    <definedName name="AITEM">[3]SERVIÇO!#REF!</definedName>
    <definedName name="ALTADUC" localSheetId="5">[3]SERVIÇO!#REF!</definedName>
    <definedName name="ALTADUC" localSheetId="3">[3]SERVIÇO!#REF!</definedName>
    <definedName name="ALTADUC">[3]SERVIÇO!#REF!</definedName>
    <definedName name="ALTBOMB" localSheetId="5">[3]SERVIÇO!#REF!</definedName>
    <definedName name="ALTBOMB" localSheetId="3">[3]SERVIÇO!#REF!</definedName>
    <definedName name="ALTBOMB">[3]SERVIÇO!#REF!</definedName>
    <definedName name="ALTCAP" localSheetId="5">[3]SERVIÇO!#REF!</definedName>
    <definedName name="ALTCAP" localSheetId="3">[3]SERVIÇO!#REF!</definedName>
    <definedName name="ALTCAP">[3]SERVIÇO!#REF!</definedName>
    <definedName name="ALTDER" localSheetId="5">[3]SERVIÇO!#REF!</definedName>
    <definedName name="ALTDER" localSheetId="3">[3]SERVIÇO!#REF!</definedName>
    <definedName name="ALTDER">[3]SERVIÇO!#REF!</definedName>
    <definedName name="ALTEQUIP" localSheetId="5">[3]SERVIÇO!#REF!</definedName>
    <definedName name="ALTEQUIP" localSheetId="3">[3]SERVIÇO!#REF!</definedName>
    <definedName name="ALTEQUIP">[3]SERVIÇO!#REF!</definedName>
    <definedName name="ALTIEQP" localSheetId="5">[3]SERVIÇO!#REF!</definedName>
    <definedName name="ALTIEQP" localSheetId="3">[3]SERVIÇO!#REF!</definedName>
    <definedName name="ALTIEQP">[3]SERVIÇO!#REF!</definedName>
    <definedName name="ALTMUR" localSheetId="5">[3]SERVIÇO!#REF!</definedName>
    <definedName name="ALTMUR" localSheetId="3">[3]SERVIÇO!#REF!</definedName>
    <definedName name="ALTMUR">[3]SERVIÇO!#REF!</definedName>
    <definedName name="ALTRES10" localSheetId="5">[3]SERVIÇO!#REF!</definedName>
    <definedName name="ALTRES10" localSheetId="3">[3]SERVIÇO!#REF!</definedName>
    <definedName name="ALTRES10">[3]SERVIÇO!#REF!</definedName>
    <definedName name="ALTRES15" localSheetId="5">[3]SERVIÇO!#REF!</definedName>
    <definedName name="ALTRES15" localSheetId="3">[3]SERVIÇO!#REF!</definedName>
    <definedName name="ALTRES15">[3]SERVIÇO!#REF!</definedName>
    <definedName name="ALTRES20" localSheetId="5">[3]SERVIÇO!#REF!</definedName>
    <definedName name="ALTRES20" localSheetId="3">[3]SERVIÇO!#REF!</definedName>
    <definedName name="ALTRES20">[3]SERVIÇO!#REF!</definedName>
    <definedName name="ALTTRANS" localSheetId="5">[3]SERVIÇO!#REF!</definedName>
    <definedName name="ALTTRANS" localSheetId="3">[3]SERVIÇO!#REF!</definedName>
    <definedName name="ALTTRANS">[3]SERVIÇO!#REF!</definedName>
    <definedName name="AQTEMP1" localSheetId="5">[3]SERVIÇO!#REF!</definedName>
    <definedName name="AQTEMP1" localSheetId="3">[3]SERVIÇO!#REF!</definedName>
    <definedName name="AQTEMP1">[3]SERVIÇO!#REF!</definedName>
    <definedName name="AQTEMP2" localSheetId="5">[3]SERVIÇO!#REF!</definedName>
    <definedName name="AQTEMP2" localSheetId="3">[3]SERVIÇO!#REF!</definedName>
    <definedName name="AQTEMP2">[3]SERVIÇO!#REF!</definedName>
    <definedName name="_xlnm.Print_Area" localSheetId="5">'BDI EQUIPAMENTOS'!$A$9:$H$46</definedName>
    <definedName name="_xlnm.Print_Area" localSheetId="4">'BDI OBRAS'!$A$9:$H$47</definedName>
    <definedName name="_xlnm.Print_Area" localSheetId="3">CRONOGRAMA!$A$1:$L$146</definedName>
    <definedName name="_xlnm.Print_Area" localSheetId="6">'ENCARGOS SOCIAIS'!$A$1:$J$49</definedName>
    <definedName name="_xlnm.Print_Area" localSheetId="0">SERVIÇOS!$A$1:$H$203</definedName>
    <definedName name="ARQ" localSheetId="5">[3]SERVIÇO!#REF!</definedName>
    <definedName name="ARQ" localSheetId="3">[3]SERVIÇO!#REF!</definedName>
    <definedName name="ARQ">[3]SERVIÇO!#REF!</definedName>
    <definedName name="_ARQ1" localSheetId="5">[3]SERVIÇO!#REF!</definedName>
    <definedName name="__ARQ1" localSheetId="3">[3]SERVIÇO!#REF!</definedName>
    <definedName name="__ARQ1">[3]SERVIÇO!#REF!</definedName>
    <definedName name="ARQERR" localSheetId="5">[3]SERVIÇO!#REF!</definedName>
    <definedName name="ARQERR" localSheetId="3">[3]SERVIÇO!#REF!</definedName>
    <definedName name="ARQERR">[3]SERVIÇO!#REF!</definedName>
    <definedName name="ARQMARC" localSheetId="5">[3]SERVIÇO!#REF!</definedName>
    <definedName name="ARQMARC" localSheetId="3">[3]SERVIÇO!#REF!</definedName>
    <definedName name="ARQMARC">[3]SERVIÇO!#REF!</definedName>
    <definedName name="ARQPLAN" localSheetId="5">[3]SERVIÇO!#REF!</definedName>
    <definedName name="ARQPLAN" localSheetId="3">[3]SERVIÇO!#REF!</definedName>
    <definedName name="ARQPLAN">[3]SERVIÇO!#REF!</definedName>
    <definedName name="ARQT" localSheetId="5">[3]SERVIÇO!#REF!</definedName>
    <definedName name="ARQT" localSheetId="3">[3]SERVIÇO!#REF!</definedName>
    <definedName name="ARQT">[3]SERVIÇO!#REF!</definedName>
    <definedName name="ARQTEMP" localSheetId="5">[3]SERVIÇO!#REF!</definedName>
    <definedName name="ARQTEMP" localSheetId="3">[3]SERVIÇO!#REF!</definedName>
    <definedName name="ARQTEMP">[3]SERVIÇO!#REF!</definedName>
    <definedName name="ARQTXT" localSheetId="5">[3]SERVIÇO!#REF!</definedName>
    <definedName name="ARQTXT" localSheetId="3">[3]SERVIÇO!#REF!</definedName>
    <definedName name="ARQTXT">[3]SERVIÇO!#REF!</definedName>
    <definedName name="ARTEMP" localSheetId="5">[3]SERVIÇO!#REF!</definedName>
    <definedName name="ARTEMP" localSheetId="3">[3]SERVIÇO!#REF!</definedName>
    <definedName name="ARTEMP">[3]SERVIÇO!#REF!</definedName>
    <definedName name="ass" localSheetId="5">[3]SERVIÇO!#REF!</definedName>
    <definedName name="ass" localSheetId="3">[3]SERVIÇO!#REF!</definedName>
    <definedName name="ass">[3]SERVIÇO!#REF!</definedName>
    <definedName name="bebqt" localSheetId="5">[3]SERVIÇO!#REF!</definedName>
    <definedName name="bebqt" localSheetId="3">[3]SERVIÇO!#REF!</definedName>
    <definedName name="bebqt">[3]SERVIÇO!#REF!</definedName>
    <definedName name="CAMP" localSheetId="5">[3]SERVIÇO!#REF!</definedName>
    <definedName name="CAMP" localSheetId="3">[3]SERVIÇO!#REF!</definedName>
    <definedName name="CAMP">[3]SERVIÇO!#REF!</definedName>
    <definedName name="CHAFQT" localSheetId="5">[3]SERVIÇO!#REF!</definedName>
    <definedName name="CHAFQT" localSheetId="3">[3]SERVIÇO!#REF!</definedName>
    <definedName name="CHAFQT">[3]SERVIÇO!#REF!</definedName>
    <definedName name="COLSUB" localSheetId="5">[3]SERVIÇO!#REF!</definedName>
    <definedName name="COLSUB" localSheetId="3">[3]SERVIÇO!#REF!</definedName>
    <definedName name="COLSUB">[3]SERVIÇO!#REF!</definedName>
    <definedName name="CONT1" localSheetId="5">[3]SERVIÇO!#REF!</definedName>
    <definedName name="CONT1" localSheetId="3">[3]SERVIÇO!#REF!</definedName>
    <definedName name="CONT1">[3]SERVIÇO!#REF!</definedName>
    <definedName name="CONT2" localSheetId="5">[3]SERVIÇO!#REF!</definedName>
    <definedName name="CONT2" localSheetId="3">[3]SERVIÇO!#REF!</definedName>
    <definedName name="CONT2">[3]SERVIÇO!#REF!</definedName>
    <definedName name="CONT3" localSheetId="5">[3]SERVIÇO!#REF!</definedName>
    <definedName name="CONT3" localSheetId="3">[3]SERVIÇO!#REF!</definedName>
    <definedName name="CONT3">[3]SERVIÇO!#REF!</definedName>
    <definedName name="CONTAIT" localSheetId="5">[3]SERVIÇO!#REF!</definedName>
    <definedName name="CONTAIT" localSheetId="3">[3]SERVIÇO!#REF!</definedName>
    <definedName name="CONTAIT">[3]SERVIÇO!#REF!</definedName>
    <definedName name="CONTREC" localSheetId="5">[3]SERVIÇO!#REF!</definedName>
    <definedName name="CONTREC" localSheetId="3">[3]SERVIÇO!#REF!</definedName>
    <definedName name="CONTREC">[3]SERVIÇO!#REF!</definedName>
    <definedName name="CONTRES" localSheetId="5">[3]SERVIÇO!#REF!</definedName>
    <definedName name="CONTRES" localSheetId="3">[3]SERVIÇO!#REF!</definedName>
    <definedName name="CONTRES">[3]SERVIÇO!#REF!</definedName>
    <definedName name="CRITERX" localSheetId="5">[3]SERVIÇO!#REF!</definedName>
    <definedName name="CRITERX" localSheetId="3">[3]SERVIÇO!#REF!</definedName>
    <definedName name="CRITERX">[3]SERVIÇO!#REF!</definedName>
    <definedName name="DERIVQT" localSheetId="5">[3]SERVIÇO!#REF!</definedName>
    <definedName name="DERIVQT" localSheetId="3">[3]SERVIÇO!#REF!</definedName>
    <definedName name="DERIVQT">[3]SERVIÇO!#REF!</definedName>
    <definedName name="descnt" localSheetId="5">#REF!</definedName>
    <definedName name="descnt" localSheetId="3">#REF!</definedName>
    <definedName name="descnt">#REF!</definedName>
    <definedName name="descont" localSheetId="5">#REF!</definedName>
    <definedName name="descont" localSheetId="3">#REF!</definedName>
    <definedName name="descont">#REF!</definedName>
    <definedName name="DIFQT" localSheetId="5">[3]SERVIÇO!#REF!</definedName>
    <definedName name="DIFQT" localSheetId="3">[3]SERVIÇO!#REF!</definedName>
    <definedName name="DIFQT">[3]SERVIÇO!#REF!</definedName>
    <definedName name="EQPOTENC" localSheetId="5">[3]SERVIÇO!#REF!</definedName>
    <definedName name="EQPOTENC" localSheetId="3">[3]SERVIÇO!#REF!</definedName>
    <definedName name="EQPOTENC">[3]SERVIÇO!#REF!</definedName>
    <definedName name="FCRITER" localSheetId="5">[3]SERVIÇO!#REF!</definedName>
    <definedName name="FCRITER" localSheetId="3">[3]SERVIÇO!#REF!</definedName>
    <definedName name="FCRITER">[3]SERVIÇO!#REF!</definedName>
    <definedName name="HOJE" localSheetId="5">[3]SERVIÇO!#REF!</definedName>
    <definedName name="HOJE" localSheetId="3">[3]SERVIÇO!#REF!</definedName>
    <definedName name="HOJE">[3]SERVIÇO!#REF!</definedName>
    <definedName name="IMPF" localSheetId="5">[3]SERVIÇO!#REF!</definedName>
    <definedName name="IMPF" localSheetId="3">[3]SERVIÇO!#REF!</definedName>
    <definedName name="IMPF">[3]SERVIÇO!#REF!</definedName>
    <definedName name="IMPI" localSheetId="5">[3]SERVIÇO!#REF!</definedName>
    <definedName name="IMPI" localSheetId="3">[3]SERVIÇO!#REF!</definedName>
    <definedName name="IMPI">[3]SERVIÇO!#REF!</definedName>
    <definedName name="Insumos">'[1]RELAÇÃO - COMPOSIÇÕES E INSUMOS'!$A$7:$D$337</definedName>
    <definedName name="ITEMCONT" localSheetId="5">[3]SERVIÇO!#REF!</definedName>
    <definedName name="ITEMCONT" localSheetId="3">[3]SERVIÇO!#REF!</definedName>
    <definedName name="ITEMCONT">[3]SERVIÇO!#REF!</definedName>
    <definedName name="ITEMDER" localSheetId="5">[3]SERVIÇO!#REF!</definedName>
    <definedName name="ITEMDER" localSheetId="3">[3]SERVIÇO!#REF!</definedName>
    <definedName name="ITEMDER">[3]SERVIÇO!#REF!</definedName>
    <definedName name="ITEMEQP" localSheetId="5">[3]SERVIÇO!#REF!</definedName>
    <definedName name="ITEMEQP" localSheetId="3">[3]SERVIÇO!#REF!</definedName>
    <definedName name="ITEMEQP">[3]SERVIÇO!#REF!</definedName>
    <definedName name="ITEMMUR" localSheetId="5">[3]SERVIÇO!#REF!</definedName>
    <definedName name="ITEMMUR" localSheetId="3">[3]SERVIÇO!#REF!</definedName>
    <definedName name="ITEMMUR">[3]SERVIÇO!#REF!</definedName>
    <definedName name="ITEMR15" localSheetId="5">[3]SERVIÇO!#REF!</definedName>
    <definedName name="ITEMR15" localSheetId="3">[3]SERVIÇO!#REF!</definedName>
    <definedName name="ITEMR15">[3]SERVIÇO!#REF!</definedName>
    <definedName name="ITEMR20" localSheetId="5">[3]SERVIÇO!#REF!</definedName>
    <definedName name="ITEMR20" localSheetId="3">[3]SERVIÇO!#REF!</definedName>
    <definedName name="ITEMR20">[3]SERVIÇO!#REF!</definedName>
    <definedName name="ITEMTRANS" localSheetId="5">[3]SERVIÇO!#REF!</definedName>
    <definedName name="ITEMTRANS" localSheetId="3">[3]SERVIÇO!#REF!</definedName>
    <definedName name="ITEMTRANS">[3]SERVIÇO!#REF!</definedName>
    <definedName name="ITENS" localSheetId="5">[3]SERVIÇO!#REF!</definedName>
    <definedName name="ITENS" localSheetId="3">[3]SERVIÇO!#REF!</definedName>
    <definedName name="ITENS">[3]SERVIÇO!#REF!</definedName>
    <definedName name="ITENS0" localSheetId="5">[3]SERVIÇO!#REF!</definedName>
    <definedName name="ITENS0" localSheetId="3">[3]SERVIÇO!#REF!</definedName>
    <definedName name="ITENS0">[3]SERVIÇO!#REF!</definedName>
    <definedName name="ITENS1" localSheetId="5">[3]SERVIÇO!#REF!</definedName>
    <definedName name="ITENS1" localSheetId="3">[3]SERVIÇO!#REF!</definedName>
    <definedName name="ITENS1">[3]SERVIÇO!#REF!</definedName>
    <definedName name="ITENSP" localSheetId="5">[3]SERVIÇO!#REF!</definedName>
    <definedName name="ITENSP" localSheetId="3">[3]SERVIÇO!#REF!</definedName>
    <definedName name="ITENSP">[3]SERVIÇO!#REF!</definedName>
    <definedName name="ITENSPMED" localSheetId="5">[3]SERVIÇO!#REF!</definedName>
    <definedName name="ITENSPMED" localSheetId="3">[3]SERVIÇO!#REF!</definedName>
    <definedName name="ITENSPMED">[3]SERVIÇO!#REF!</definedName>
    <definedName name="LIN" localSheetId="5">[3]SERVIÇO!#REF!</definedName>
    <definedName name="LIN" localSheetId="3">[3]SERVIÇO!#REF!</definedName>
    <definedName name="LIN">[3]SERVIÇO!#REF!</definedName>
    <definedName name="LISTSEL" localSheetId="5">[3]SERVIÇO!#REF!</definedName>
    <definedName name="LISTSEL" localSheetId="3">[3]SERVIÇO!#REF!</definedName>
    <definedName name="LISTSEL">[3]SERVIÇO!#REF!</definedName>
    <definedName name="LOCAB" localSheetId="5">[3]SERVIÇO!#REF!</definedName>
    <definedName name="LOCAB" localSheetId="3">[3]SERVIÇO!#REF!</definedName>
    <definedName name="LOCAB">[3]SERVIÇO!#REF!</definedName>
    <definedName name="LOCAL" localSheetId="5">[3]SERVIÇO!#REF!</definedName>
    <definedName name="LOCAL" localSheetId="3">[3]SERVIÇO!#REF!</definedName>
    <definedName name="LOCAL">[3]SERVIÇO!#REF!</definedName>
    <definedName name="MARCAX" localSheetId="5">[3]SERVIÇO!#REF!</definedName>
    <definedName name="MARCAX" localSheetId="3">[3]SERVIÇO!#REF!</definedName>
    <definedName name="MARCAX">[3]SERVIÇO!#REF!</definedName>
    <definedName name="MENUBOM" localSheetId="5">[3]SERVIÇO!#REF!</definedName>
    <definedName name="MENUBOM" localSheetId="3">[3]SERVIÇO!#REF!</definedName>
    <definedName name="MENUBOM">[3]SERVIÇO!#REF!</definedName>
    <definedName name="MENUEQP" localSheetId="5">[3]SERVIÇO!#REF!</definedName>
    <definedName name="MENUEQP" localSheetId="3">[3]SERVIÇO!#REF!</definedName>
    <definedName name="MENUEQP">[3]SERVIÇO!#REF!</definedName>
    <definedName name="MENUFIM" localSheetId="5">[3]SERVIÇO!#REF!</definedName>
    <definedName name="MENUFIM" localSheetId="3">[3]SERVIÇO!#REF!</definedName>
    <definedName name="MENUFIM">[3]SERVIÇO!#REF!</definedName>
    <definedName name="MENUMED" localSheetId="5">[3]SERVIÇO!#REF!</definedName>
    <definedName name="MENUMED" localSheetId="3">[3]SERVIÇO!#REF!</definedName>
    <definedName name="MENUMED">[3]SERVIÇO!#REF!</definedName>
    <definedName name="MENUOBRA" localSheetId="5">[3]SERVIÇO!#REF!</definedName>
    <definedName name="MENUOBRA" localSheetId="3">[3]SERVIÇO!#REF!</definedName>
    <definedName name="MENUOBRA">[3]SERVIÇO!#REF!</definedName>
    <definedName name="MENUOUT" localSheetId="5">[3]SERVIÇO!#REF!</definedName>
    <definedName name="MENUOUT" localSheetId="3">[3]SERVIÇO!#REF!</definedName>
    <definedName name="MENUOUT">[3]SERVIÇO!#REF!</definedName>
    <definedName name="MENUOUTRO" localSheetId="5">[3]SERVIÇO!#REF!</definedName>
    <definedName name="MENUOUTRO" localSheetId="3">[3]SERVIÇO!#REF!</definedName>
    <definedName name="MENUOUTRO">[3]SERVIÇO!#REF!</definedName>
    <definedName name="menures" localSheetId="5">[3]SERVIÇO!#REF!</definedName>
    <definedName name="menures" localSheetId="3">[3]SERVIÇO!#REF!</definedName>
    <definedName name="menures">[3]SERVIÇO!#REF!</definedName>
    <definedName name="MUNICIPIO" localSheetId="5">[3]SERVIÇO!#REF!</definedName>
    <definedName name="MUNICIPIO" localSheetId="3">[3]SERVIÇO!#REF!</definedName>
    <definedName name="MUNICIPIO">[3]SERVIÇO!#REF!</definedName>
    <definedName name="MURBOMB" localSheetId="5">[3]SERVIÇO!#REF!</definedName>
    <definedName name="MURBOMB" localSheetId="3">[3]SERVIÇO!#REF!</definedName>
    <definedName name="MURBOMB">[3]SERVIÇO!#REF!</definedName>
    <definedName name="NDATA" localSheetId="5">[3]SERVIÇO!#REF!</definedName>
    <definedName name="NDATA" localSheetId="3">[3]SERVIÇO!#REF!</definedName>
    <definedName name="NDATA">[3]SERVIÇO!#REF!</definedName>
    <definedName name="NUCOPIAS" localSheetId="5">[3]SERVIÇO!#REF!</definedName>
    <definedName name="NUCOPIAS" localSheetId="3">[3]SERVIÇO!#REF!</definedName>
    <definedName name="NUCOPIAS">[3]SERVIÇO!#REF!</definedName>
    <definedName name="OBRA" localSheetId="5">[3]SERVIÇO!#REF!</definedName>
    <definedName name="OBRA" localSheetId="3">[3]SERVIÇO!#REF!</definedName>
    <definedName name="OBRA">[3]SERVIÇO!#REF!</definedName>
    <definedName name="OBRADUPL" localSheetId="5">[3]SERVIÇO!#REF!</definedName>
    <definedName name="OBRADUPL" localSheetId="3">[3]SERVIÇO!#REF!</definedName>
    <definedName name="OBRADUPL">[3]SERVIÇO!#REF!</definedName>
    <definedName name="OBRALOC" localSheetId="5">[3]SERVIÇO!#REF!</definedName>
    <definedName name="OBRALOC" localSheetId="3">[3]SERVIÇO!#REF!</definedName>
    <definedName name="OBRALOC">[3]SERVIÇO!#REF!</definedName>
    <definedName name="OBRASEL" localSheetId="5">[3]SERVIÇO!#REF!</definedName>
    <definedName name="OBRASEL" localSheetId="3">[3]SERVIÇO!#REF!</definedName>
    <definedName name="OBRASEL">[3]SERVIÇO!#REF!</definedName>
    <definedName name="PDER" localSheetId="5">[3]SERVIÇO!#REF!</definedName>
    <definedName name="PDER" localSheetId="3">[3]SERVIÇO!#REF!</definedName>
    <definedName name="PDER">[3]SERVIÇO!#REF!</definedName>
    <definedName name="PDIVERS" localSheetId="5">[3]SERVIÇO!#REF!</definedName>
    <definedName name="PDIVERS" localSheetId="3">[3]SERVIÇO!#REF!</definedName>
    <definedName name="PDIVERS">[3]SERVIÇO!#REF!</definedName>
    <definedName name="PEMD" localSheetId="5">[3]SERVIÇO!#REF!</definedName>
    <definedName name="PEMD" localSheetId="3">[3]SERVIÇO!#REF!</definedName>
    <definedName name="PEMD">[3]SERVIÇO!#REF!</definedName>
    <definedName name="PIEQUIP" localSheetId="5">[3]SERVIÇO!#REF!</definedName>
    <definedName name="PIEQUIP" localSheetId="3">[3]SERVIÇO!#REF!</definedName>
    <definedName name="PIEQUIP">[3]SERVIÇO!#REF!</definedName>
    <definedName name="PMUR" localSheetId="5">[3]SERVIÇO!#REF!</definedName>
    <definedName name="PMUR" localSheetId="3">[3]SERVIÇO!#REF!</definedName>
    <definedName name="PMUR">[3]SERVIÇO!#REF!</definedName>
    <definedName name="PTGERAL" localSheetId="5">[3]SERVIÇO!#REF!</definedName>
    <definedName name="PTGERAL" localSheetId="3">[3]SERVIÇO!#REF!</definedName>
    <definedName name="PTGERAL">[3]SERVIÇO!#REF!</definedName>
    <definedName name="_QT100" localSheetId="5">[3]SERVIÇO!#REF!</definedName>
    <definedName name="__QT100" localSheetId="3">[3]SERVIÇO!#REF!</definedName>
    <definedName name="__QT100">[3]SERVIÇO!#REF!</definedName>
    <definedName name="_QT2" localSheetId="5">[3]SERVIÇO!#REF!</definedName>
    <definedName name="__QT2" localSheetId="3">[3]SERVIÇO!#REF!</definedName>
    <definedName name="__QT2">[3]SERVIÇO!#REF!</definedName>
    <definedName name="_QT3" localSheetId="5">[3]SERVIÇO!#REF!</definedName>
    <definedName name="__QT3" localSheetId="3">[3]SERVIÇO!#REF!</definedName>
    <definedName name="__QT3">[3]SERVIÇO!#REF!</definedName>
    <definedName name="_QT4" localSheetId="5">[3]SERVIÇO!#REF!</definedName>
    <definedName name="__QT4" localSheetId="3">[3]SERVIÇO!#REF!</definedName>
    <definedName name="__QT4">[3]SERVIÇO!#REF!</definedName>
    <definedName name="_QT50" localSheetId="5">[3]SERVIÇO!#REF!</definedName>
    <definedName name="__QT50" localSheetId="3">[3]SERVIÇO!#REF!</definedName>
    <definedName name="__QT50">[3]SERVIÇO!#REF!</definedName>
    <definedName name="_QT75" localSheetId="5">[3]SERVIÇO!#REF!</definedName>
    <definedName name="__QT75" localSheetId="3">[3]SERVIÇO!#REF!</definedName>
    <definedName name="__QT75">[3]SERVIÇO!#REF!</definedName>
    <definedName name="QTNULO" localSheetId="5">[3]SERVIÇO!#REF!</definedName>
    <definedName name="QTNULO" localSheetId="3">[3]SERVIÇO!#REF!</definedName>
    <definedName name="QTNULO">[3]SERVIÇO!#REF!</definedName>
    <definedName name="QTPADRAO" localSheetId="5">[3]SERVIÇO!#REF!</definedName>
    <definedName name="QTPADRAO" localSheetId="3">[3]SERVIÇO!#REF!</definedName>
    <definedName name="QTPADRAO">[3]SERVIÇO!#REF!</definedName>
    <definedName name="QTRES" localSheetId="5">[3]SERVIÇO!#REF!</definedName>
    <definedName name="QTRES" localSheetId="3">[3]SERVIÇO!#REF!</definedName>
    <definedName name="QTRES">[3]SERVIÇO!#REF!</definedName>
    <definedName name="QUANT" localSheetId="5">[3]SERVIÇO!#REF!</definedName>
    <definedName name="QUANT" localSheetId="3">[3]SERVIÇO!#REF!</definedName>
    <definedName name="QUANT">[3]SERVIÇO!#REF!</definedName>
    <definedName name="QUANTP" localSheetId="5">[3]SERVIÇO!#REF!</definedName>
    <definedName name="QUANTP" localSheetId="3">[3]SERVIÇO!#REF!</definedName>
    <definedName name="QUANTP">[3]SERVIÇO!#REF!</definedName>
    <definedName name="RARQIMP" localSheetId="5">[3]SERVIÇO!#REF!</definedName>
    <definedName name="RARQIMP" localSheetId="3">[3]SERVIÇO!#REF!</definedName>
    <definedName name="RARQIMP">[3]SERVIÇO!#REF!</definedName>
    <definedName name="RECADUC" localSheetId="5">[3]SERVIÇO!#REF!</definedName>
    <definedName name="RECADUC" localSheetId="3">[3]SERVIÇO!#REF!</definedName>
    <definedName name="RECADUC">[3]SERVIÇO!#REF!</definedName>
    <definedName name="ridbeb" localSheetId="5">[3]SERVIÇO!#REF!</definedName>
    <definedName name="ridbeb" localSheetId="3">[3]SERVIÇO!#REF!</definedName>
    <definedName name="ridbeb">[3]SERVIÇO!#REF!</definedName>
    <definedName name="RIDCHAF" localSheetId="5">[3]SERVIÇO!#REF!</definedName>
    <definedName name="RIDCHAF" localSheetId="3">[3]SERVIÇO!#REF!</definedName>
    <definedName name="RIDCHAF">[3]SERVIÇO!#REF!</definedName>
    <definedName name="ridres05" localSheetId="5">[3]SERVIÇO!#REF!</definedName>
    <definedName name="ridres05" localSheetId="3">[3]SERVIÇO!#REF!</definedName>
    <definedName name="ridres05">[3]SERVIÇO!#REF!</definedName>
    <definedName name="RIDRES10" localSheetId="5">[3]SERVIÇO!#REF!</definedName>
    <definedName name="RIDRES10" localSheetId="3">[3]SERVIÇO!#REF!</definedName>
    <definedName name="RIDRES10">[3]SERVIÇO!#REF!</definedName>
    <definedName name="RIDRES15" localSheetId="5">[3]SERVIÇO!#REF!</definedName>
    <definedName name="RIDRES15" localSheetId="3">[3]SERVIÇO!#REF!</definedName>
    <definedName name="RIDRES15">[3]SERVIÇO!#REF!</definedName>
    <definedName name="ROMANO" localSheetId="5">[3]SERVIÇO!#REF!</definedName>
    <definedName name="ROMANO" localSheetId="3">[3]SERVIÇO!#REF!</definedName>
    <definedName name="ROMANO">[3]SERVIÇO!#REF!</definedName>
    <definedName name="ROTCOMP" localSheetId="5">[3]SERVIÇO!#REF!</definedName>
    <definedName name="ROTCOMP" localSheetId="3">[3]SERVIÇO!#REF!</definedName>
    <definedName name="ROTCOMP">[3]SERVIÇO!#REF!</definedName>
    <definedName name="ROTIMP" localSheetId="5">[3]SERVIÇO!#REF!</definedName>
    <definedName name="ROTIMP" localSheetId="3">[3]SERVIÇO!#REF!</definedName>
    <definedName name="ROTIMP">[3]SERVIÇO!#REF!</definedName>
    <definedName name="ROTRES" localSheetId="5">[3]SERVIÇO!#REF!</definedName>
    <definedName name="ROTRES" localSheetId="3">[3]SERVIÇO!#REF!</definedName>
    <definedName name="ROTRES">[3]SERVIÇO!#REF!</definedName>
    <definedName name="RQTADUC" localSheetId="5">[3]SERVIÇO!#REF!</definedName>
    <definedName name="RQTADUC" localSheetId="3">[3]SERVIÇO!#REF!</definedName>
    <definedName name="RQTADUC">[3]SERVIÇO!#REF!</definedName>
    <definedName name="rqtbeb" localSheetId="5">[3]SERVIÇO!#REF!</definedName>
    <definedName name="rqtbeb" localSheetId="3">[3]SERVIÇO!#REF!</definedName>
    <definedName name="rqtbeb">[3]SERVIÇO!#REF!</definedName>
    <definedName name="RQTCHAF" localSheetId="5">[3]SERVIÇO!#REF!</definedName>
    <definedName name="RQTCHAF" localSheetId="3">[3]SERVIÇO!#REF!</definedName>
    <definedName name="RQTCHAF">[3]SERVIÇO!#REF!</definedName>
    <definedName name="RQTDERV" localSheetId="5">[3]SERVIÇO!#REF!</definedName>
    <definedName name="RQTDERV" localSheetId="3">[3]SERVIÇO!#REF!</definedName>
    <definedName name="RQTDERV">[3]SERVIÇO!#REF!</definedName>
    <definedName name="rres05" localSheetId="5">[3]SERVIÇO!#REF!</definedName>
    <definedName name="rres05" localSheetId="3">[3]SERVIÇO!#REF!</definedName>
    <definedName name="rres05">[3]SERVIÇO!#REF!</definedName>
    <definedName name="RRES10" localSheetId="5">[3]SERVIÇO!#REF!</definedName>
    <definedName name="RRES10" localSheetId="3">[3]SERVIÇO!#REF!</definedName>
    <definedName name="RRES10">[3]SERVIÇO!#REF!</definedName>
    <definedName name="RRES15" localSheetId="5">[3]SERVIÇO!#REF!</definedName>
    <definedName name="RRES15" localSheetId="3">[3]SERVIÇO!#REF!</definedName>
    <definedName name="RRES15">[3]SERVIÇO!#REF!</definedName>
    <definedName name="RRES20" localSheetId="5">[3]SERVIÇO!#REF!</definedName>
    <definedName name="RRES20" localSheetId="3">[3]SERVIÇO!#REF!</definedName>
    <definedName name="RRES20">[3]SERVIÇO!#REF!</definedName>
    <definedName name="RRR" localSheetId="5">[3]SERVIÇO!#REF!</definedName>
    <definedName name="RRR" localSheetId="3">[3]SERVIÇO!#REF!</definedName>
    <definedName name="RRR">[3]SERVIÇO!#REF!</definedName>
    <definedName name="RRTEMP" localSheetId="5">[3]SERVIÇO!#REF!</definedName>
    <definedName name="RRTEMP" localSheetId="3">[3]SERVIÇO!#REF!</definedName>
    <definedName name="RRTEMP">[3]SERVIÇO!#REF!</definedName>
    <definedName name="RSEQ" localSheetId="5">[3]SERVIÇO!#REF!</definedName>
    <definedName name="RSEQ" localSheetId="3">[3]SERVIÇO!#REF!</definedName>
    <definedName name="RSEQ">[3]SERVIÇO!#REF!</definedName>
    <definedName name="RSUBTOT" localSheetId="5">[3]SERVIÇO!#REF!</definedName>
    <definedName name="RSUBTOT" localSheetId="3">[3]SERVIÇO!#REF!</definedName>
    <definedName name="RSUBTOT">[3]SERVIÇO!#REF!</definedName>
    <definedName name="rtitbeb" localSheetId="5">[3]SERVIÇO!#REF!</definedName>
    <definedName name="rtitbeb" localSheetId="3">[3]SERVIÇO!#REF!</definedName>
    <definedName name="rtitbeb">[3]SERVIÇO!#REF!</definedName>
    <definedName name="RTITCHAF" localSheetId="5">[3]SERVIÇO!#REF!</definedName>
    <definedName name="RTITCHAF" localSheetId="3">[3]SERVIÇO!#REF!</definedName>
    <definedName name="RTITCHAF">[3]SERVIÇO!#REF!</definedName>
    <definedName name="rtubos" localSheetId="5">[3]SERVIÇO!#REF!</definedName>
    <definedName name="rtubos" localSheetId="3">[3]SERVIÇO!#REF!</definedName>
    <definedName name="rtubos">[3]SERVIÇO!#REF!</definedName>
    <definedName name="SISTEM1" localSheetId="5">[3]SERVIÇO!#REF!</definedName>
    <definedName name="SISTEM1" localSheetId="3">[3]SERVIÇO!#REF!</definedName>
    <definedName name="SISTEM1">[3]SERVIÇO!#REF!</definedName>
    <definedName name="SISTEM2" localSheetId="5">[3]SERVIÇO!#REF!</definedName>
    <definedName name="SISTEM2" localSheetId="3">[3]SERVIÇO!#REF!</definedName>
    <definedName name="SISTEM2">[3]SERVIÇO!#REF!</definedName>
    <definedName name="SSS" localSheetId="5">[3]SERVIÇO!#REF!</definedName>
    <definedName name="SSS" localSheetId="3">[3]SERVIÇO!#REF!</definedName>
    <definedName name="SSS">[3]SERVIÇO!#REF!</definedName>
    <definedName name="SSTEMP" localSheetId="5">[3]SERVIÇO!#REF!</definedName>
    <definedName name="SSTEMP" localSheetId="3">[3]SERVIÇO!#REF!</definedName>
    <definedName name="SSTEMP">[3]SERVIÇO!#REF!</definedName>
    <definedName name="SUBDER" localSheetId="5">[3]SERVIÇO!#REF!</definedName>
    <definedName name="SUBDER" localSheetId="3">[3]SERVIÇO!#REF!</definedName>
    <definedName name="SUBDER">[3]SERVIÇO!#REF!</definedName>
    <definedName name="SUBDIV" localSheetId="5">[3]SERVIÇO!#REF!</definedName>
    <definedName name="SUBDIV" localSheetId="3">[3]SERVIÇO!#REF!</definedName>
    <definedName name="SUBDIV">[3]SERVIÇO!#REF!</definedName>
    <definedName name="SUBEQP" localSheetId="5">[3]SERVIÇO!#REF!</definedName>
    <definedName name="SUBEQP" localSheetId="3">[3]SERVIÇO!#REF!</definedName>
    <definedName name="SUBEQP">[3]SERVIÇO!#REF!</definedName>
    <definedName name="SUBMUR" localSheetId="5">[3]SERVIÇO!#REF!</definedName>
    <definedName name="SUBMUR" localSheetId="3">[3]SERVIÇO!#REF!</definedName>
    <definedName name="SUBMUR">[3]SERVIÇO!#REF!</definedName>
    <definedName name="titbeb" localSheetId="5">[3]SERVIÇO!#REF!</definedName>
    <definedName name="titbeb" localSheetId="3">[3]SERVIÇO!#REF!</definedName>
    <definedName name="titbeb">[3]SERVIÇO!#REF!</definedName>
    <definedName name="TITCHAF" localSheetId="5">[3]SERVIÇO!#REF!</definedName>
    <definedName name="TITCHAF" localSheetId="3">[3]SERVIÇO!#REF!</definedName>
    <definedName name="TITCHAF">[3]SERVIÇO!#REF!</definedName>
    <definedName name="_xlnm.Print_Titles" localSheetId="0">SERVIÇOS!$8:$8</definedName>
    <definedName name="TOTQTS" localSheetId="5">[3]SERVIÇO!#REF!</definedName>
    <definedName name="TOTQTS" localSheetId="3">[3]SERVIÇO!#REF!</definedName>
    <definedName name="TOTQTS">[3]SERVIÇO!#REF!</definedName>
    <definedName name="TTT" localSheetId="5">[3]SERVIÇO!#REF!</definedName>
    <definedName name="TTT" localSheetId="3">[3]SERVIÇO!#REF!</definedName>
    <definedName name="TTT">[3]SERVIÇO!#REF!</definedName>
    <definedName name="TXTEQUIP" localSheetId="5">[3]SERVIÇO!#REF!</definedName>
    <definedName name="TXTEQUIP" localSheetId="3">[3]SERVIÇO!#REF!</definedName>
    <definedName name="TXTEQUIP">[3]SERVIÇO!#REF!</definedName>
    <definedName name="TXTMARCA" localSheetId="5">[3]SERVIÇO!#REF!</definedName>
    <definedName name="TXTMARCA" localSheetId="3">[3]SERVIÇO!#REF!</definedName>
    <definedName name="TXTMARCA">[3]SERVIÇO!#REF!</definedName>
    <definedName name="TXTMOD" localSheetId="5">[3]SERVIÇO!#REF!</definedName>
    <definedName name="TXTMOD" localSheetId="3">[3]SERVIÇO!#REF!</definedName>
    <definedName name="TXTMOD">[3]SERVIÇO!#REF!</definedName>
    <definedName name="TXTPOT" localSheetId="5">[3]SERVIÇO!#REF!</definedName>
    <definedName name="TXTPOT" localSheetId="3">[3]SERVIÇO!#REF!</definedName>
    <definedName name="TXTPOT">[3]SERVIÇO!#REF!</definedName>
    <definedName name="WITENS" localSheetId="5">[3]SERVIÇO!#REF!</definedName>
    <definedName name="WITENS" localSheetId="3">[3]SERVIÇO!#REF!</definedName>
    <definedName name="WITENS">[3]SERVIÇO!#REF!</definedName>
    <definedName name="WNMLOCAL" localSheetId="5">[3]SERVIÇO!#REF!</definedName>
    <definedName name="WNMLOCAL" localSheetId="3">[3]SERVIÇO!#REF!</definedName>
    <definedName name="WNMLOCAL">[3]SERVIÇO!#REF!</definedName>
    <definedName name="WNMMUN" localSheetId="5">[3]SERVIÇO!#REF!</definedName>
    <definedName name="WNMMUN" localSheetId="3">[3]SERVIÇO!#REF!</definedName>
    <definedName name="WNMMUN">[3]SERVIÇO!#REF!</definedName>
    <definedName name="WNMSERV" localSheetId="5">[3]SERVIÇO!#REF!</definedName>
    <definedName name="WNMSERV" localSheetId="3">[3]SERVIÇO!#REF!</definedName>
    <definedName name="WNMSERV">[3]SERVIÇO!#REF!</definedName>
    <definedName name="XALFA" localSheetId="5">[3]SERVIÇO!#REF!</definedName>
    <definedName name="XALFA" localSheetId="3">[3]SERVIÇO!#REF!</definedName>
    <definedName name="XALFA">[3]SERVIÇO!#REF!</definedName>
    <definedName name="XDATA" localSheetId="5">[3]SERVIÇO!#REF!</definedName>
    <definedName name="XDATA" localSheetId="3">[3]SERVIÇO!#REF!</definedName>
    <definedName name="XDATA">[3]SERVIÇO!#REF!</definedName>
    <definedName name="XITEM" localSheetId="5">[3]SERVIÇO!#REF!</definedName>
    <definedName name="XITEM" localSheetId="3">[3]SERVIÇO!#REF!</definedName>
    <definedName name="XITEM">[3]SERVIÇO!#REF!</definedName>
    <definedName name="XLOC" localSheetId="5">[3]SERVIÇO!#REF!</definedName>
    <definedName name="XLOC" localSheetId="3">[3]SERVIÇO!#REF!</definedName>
    <definedName name="XLOC">[3]SERVIÇO!#REF!</definedName>
    <definedName name="xnInforme_quantos_bebedouros____bebqt__if_bebqt__0__xlQt.bebedouros_invalida___ENTER_p_reinformar__xresp__branch_rqtderv" localSheetId="5">[3]SERVIÇO!#REF!</definedName>
    <definedName name="xnInforme_quantos_bebedouros____bebqt__if_bebqt__0__xlQt.bebedouros_invalida___ENTER_p_reinformar__xresp__branch_rqtderv" localSheetId="3">[3]SERVIÇO!#REF!</definedName>
    <definedName name="xnInforme_quantos_bebedouros____bebqt__if_bebqt__0__xlQt.bebedouros_invalida___ENTER_p_reinformar__xresp__branch_rqtderv">[3]SERVIÇO!#REF!</definedName>
    <definedName name="XNUCOPIAS" localSheetId="5">[3]SERVIÇO!#REF!</definedName>
    <definedName name="XNUCOPIAS" localSheetId="3">[3]SERVIÇO!#REF!</definedName>
    <definedName name="XNUCOPIAS">[3]SERVIÇO!#REF!</definedName>
    <definedName name="XRESP" localSheetId="5">[3]SERVIÇO!#REF!</definedName>
    <definedName name="XRESP" localSheetId="3">[3]SERVIÇO!#REF!</definedName>
    <definedName name="XRESP">[3]SERVIÇO!#REF!</definedName>
    <definedName name="XTITRES" localSheetId="5">[3]SERVIÇO!#REF!</definedName>
    <definedName name="XTITRES" localSheetId="3">[3]SERVIÇO!#REF!</definedName>
    <definedName name="XTITRES">[3]SERVIÇO!#REF!</definedName>
    <definedName name="ZECA" localSheetId="5">[3]SERVIÇO!#REF!</definedName>
    <definedName name="ZECA" localSheetId="3">[3]SERVIÇO!#REF!</definedName>
    <definedName name="ZECA">[3]SERVIÇO!#REF!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G172" i="42" l="1"/>
  <c r="G138" i="42"/>
  <c r="E137" i="42"/>
  <c r="G137" i="42" s="1"/>
  <c r="C136" i="42"/>
  <c r="C26" i="42"/>
  <c r="D38" i="54"/>
  <c r="G88" i="54"/>
  <c r="H88" i="54"/>
  <c r="G119" i="42"/>
  <c r="G102" i="42"/>
  <c r="G15" i="42"/>
  <c r="E73" i="42"/>
  <c r="G73" i="42" s="1"/>
  <c r="C75" i="42"/>
  <c r="A46" i="54"/>
  <c r="H52" i="54"/>
  <c r="F48" i="54"/>
  <c r="F49" i="54"/>
  <c r="H49" i="54" s="1"/>
  <c r="F47" i="54"/>
  <c r="G54" i="54"/>
  <c r="H54" i="54"/>
  <c r="G53" i="54"/>
  <c r="H53" i="54" s="1"/>
  <c r="A44" i="54"/>
  <c r="G59" i="42"/>
  <c r="E55" i="42"/>
  <c r="E52" i="42" s="1"/>
  <c r="G52" i="42" s="1"/>
  <c r="E54" i="42"/>
  <c r="G184" i="42"/>
  <c r="C184" i="42"/>
  <c r="C185" i="42"/>
  <c r="G181" i="42"/>
  <c r="G182" i="42"/>
  <c r="G183" i="42"/>
  <c r="G185" i="42"/>
  <c r="C183" i="42"/>
  <c r="A7" i="50"/>
  <c r="E5" i="50"/>
  <c r="A5" i="50"/>
  <c r="A7" i="49"/>
  <c r="E5" i="49"/>
  <c r="A5" i="49"/>
  <c r="A7" i="48"/>
  <c r="E5" i="48"/>
  <c r="A5" i="48"/>
  <c r="A7" i="54"/>
  <c r="A5" i="54"/>
  <c r="E5" i="54"/>
  <c r="F2" i="54"/>
  <c r="A2" i="47"/>
  <c r="G126" i="42"/>
  <c r="G24" i="42"/>
  <c r="E189" i="42"/>
  <c r="E191" i="42" s="1"/>
  <c r="G191" i="42" s="1"/>
  <c r="E190" i="42"/>
  <c r="G190" i="42" s="1"/>
  <c r="G188" i="42"/>
  <c r="C191" i="42"/>
  <c r="A119" i="54"/>
  <c r="D119" i="54"/>
  <c r="C110" i="42" s="1"/>
  <c r="G121" i="54"/>
  <c r="H121" i="54"/>
  <c r="H122" i="54" s="1"/>
  <c r="G110" i="42"/>
  <c r="H120" i="54"/>
  <c r="G29" i="47"/>
  <c r="I29" i="47"/>
  <c r="K29" i="47"/>
  <c r="G130" i="42"/>
  <c r="G128" i="42"/>
  <c r="C20" i="47" s="1"/>
  <c r="E20" i="47" s="1"/>
  <c r="F20" i="47" s="1"/>
  <c r="G131" i="42"/>
  <c r="G132" i="42"/>
  <c r="G133" i="42"/>
  <c r="E186" i="42"/>
  <c r="G186" i="42"/>
  <c r="E178" i="42"/>
  <c r="D91" i="55"/>
  <c r="E61" i="42"/>
  <c r="G61" i="42"/>
  <c r="E60" i="42"/>
  <c r="G60" i="42" s="1"/>
  <c r="D90" i="55"/>
  <c r="E17" i="42"/>
  <c r="G17" i="42" s="1"/>
  <c r="G11" i="42"/>
  <c r="E18" i="42"/>
  <c r="G18" i="42" s="1"/>
  <c r="E34" i="42"/>
  <c r="G34" i="42"/>
  <c r="E40" i="42"/>
  <c r="G40" i="42" s="1"/>
  <c r="E26" i="42"/>
  <c r="G26" i="42"/>
  <c r="A210" i="54"/>
  <c r="A198" i="54"/>
  <c r="A187" i="54"/>
  <c r="A179" i="54"/>
  <c r="A171" i="54"/>
  <c r="A166" i="54"/>
  <c r="A160" i="54"/>
  <c r="A154" i="54"/>
  <c r="A148" i="54"/>
  <c r="A141" i="54"/>
  <c r="A134" i="54"/>
  <c r="A126" i="54"/>
  <c r="A113" i="54"/>
  <c r="A108" i="54"/>
  <c r="A103" i="54"/>
  <c r="A98" i="54"/>
  <c r="A86" i="54"/>
  <c r="A81" i="54"/>
  <c r="A76" i="54"/>
  <c r="A69" i="54"/>
  <c r="A64" i="54"/>
  <c r="A59" i="54"/>
  <c r="A25" i="54"/>
  <c r="A34" i="54"/>
  <c r="G214" i="54"/>
  <c r="H214" i="54" s="1"/>
  <c r="H215" i="54" s="1"/>
  <c r="G213" i="54"/>
  <c r="H213" i="54"/>
  <c r="G115" i="54"/>
  <c r="H115" i="54" s="1"/>
  <c r="G118" i="42"/>
  <c r="G110" i="54"/>
  <c r="H110" i="54" s="1"/>
  <c r="G105" i="54"/>
  <c r="H105" i="54"/>
  <c r="H106" i="54"/>
  <c r="G116" i="42"/>
  <c r="G100" i="54"/>
  <c r="H100" i="54"/>
  <c r="H101" i="54"/>
  <c r="G115" i="42"/>
  <c r="G92" i="54"/>
  <c r="H92" i="54"/>
  <c r="G91" i="54"/>
  <c r="H91" i="54" s="1"/>
  <c r="H96" i="54" s="1"/>
  <c r="G83" i="54"/>
  <c r="H83" i="54"/>
  <c r="H84" i="54"/>
  <c r="G114" i="42"/>
  <c r="G78" i="54"/>
  <c r="H78" i="54"/>
  <c r="H79" i="54"/>
  <c r="G113" i="42"/>
  <c r="G73" i="54"/>
  <c r="H73" i="54"/>
  <c r="G72" i="54"/>
  <c r="H72" i="54" s="1"/>
  <c r="G66" i="54"/>
  <c r="H66" i="54"/>
  <c r="H67" i="54"/>
  <c r="G61" i="54"/>
  <c r="H61" i="54" s="1"/>
  <c r="G41" i="54"/>
  <c r="H41" i="54"/>
  <c r="G40" i="54"/>
  <c r="H40" i="54" s="1"/>
  <c r="G29" i="54"/>
  <c r="H29" i="54"/>
  <c r="G71" i="42"/>
  <c r="G28" i="54"/>
  <c r="H28" i="54"/>
  <c r="A208" i="54"/>
  <c r="G175" i="42"/>
  <c r="G176" i="42"/>
  <c r="E168" i="42"/>
  <c r="G168" i="42" s="1"/>
  <c r="G170" i="42"/>
  <c r="E167" i="42"/>
  <c r="G167" i="42"/>
  <c r="C165" i="42"/>
  <c r="C164" i="42"/>
  <c r="G171" i="42"/>
  <c r="G166" i="42"/>
  <c r="G165" i="42"/>
  <c r="G164" i="42"/>
  <c r="E172" i="42"/>
  <c r="C163" i="42"/>
  <c r="H167" i="54"/>
  <c r="H168" i="54" s="1"/>
  <c r="G161" i="42"/>
  <c r="G163" i="54"/>
  <c r="H163" i="54" s="1"/>
  <c r="G162" i="54"/>
  <c r="F163" i="54"/>
  <c r="F162" i="54"/>
  <c r="H162" i="54"/>
  <c r="G161" i="54"/>
  <c r="H161" i="54" s="1"/>
  <c r="H164" i="54" s="1"/>
  <c r="H156" i="54"/>
  <c r="G155" i="54"/>
  <c r="H155" i="54" s="1"/>
  <c r="H157" i="54" s="1"/>
  <c r="H150" i="54"/>
  <c r="G149" i="54"/>
  <c r="H149" i="54" s="1"/>
  <c r="H151" i="54" s="1"/>
  <c r="E160" i="42"/>
  <c r="H145" i="54"/>
  <c r="H144" i="54"/>
  <c r="G143" i="54"/>
  <c r="H143" i="54" s="1"/>
  <c r="G142" i="54"/>
  <c r="H142" i="54"/>
  <c r="G153" i="42"/>
  <c r="G157" i="42"/>
  <c r="G156" i="42"/>
  <c r="G155" i="42"/>
  <c r="G154" i="42"/>
  <c r="G152" i="42"/>
  <c r="G147" i="42"/>
  <c r="E146" i="42"/>
  <c r="G146" i="42" s="1"/>
  <c r="G140" i="42"/>
  <c r="G138" i="54"/>
  <c r="H138" i="54" s="1"/>
  <c r="H137" i="54"/>
  <c r="G136" i="54"/>
  <c r="H136" i="54"/>
  <c r="F136" i="54"/>
  <c r="G135" i="54"/>
  <c r="F135" i="54"/>
  <c r="G131" i="54"/>
  <c r="H131" i="54" s="1"/>
  <c r="G130" i="54"/>
  <c r="H130" i="54"/>
  <c r="H129" i="54"/>
  <c r="G128" i="54"/>
  <c r="H128" i="54" s="1"/>
  <c r="G127" i="54"/>
  <c r="H127" i="54"/>
  <c r="H132" i="54" s="1"/>
  <c r="G195" i="42"/>
  <c r="G198" i="42"/>
  <c r="G199" i="42"/>
  <c r="C174" i="42"/>
  <c r="S28" i="47"/>
  <c r="S32" i="47"/>
  <c r="S13" i="47"/>
  <c r="S11" i="47"/>
  <c r="G37" i="42"/>
  <c r="G35" i="42"/>
  <c r="G36" i="42"/>
  <c r="C127" i="42"/>
  <c r="G124" i="42"/>
  <c r="G125" i="42"/>
  <c r="G127" i="42"/>
  <c r="G121" i="42"/>
  <c r="G122" i="42"/>
  <c r="G123" i="42"/>
  <c r="G120" i="42"/>
  <c r="C118" i="42"/>
  <c r="C117" i="42"/>
  <c r="C116" i="42"/>
  <c r="C115" i="42"/>
  <c r="C113" i="42"/>
  <c r="C112" i="42"/>
  <c r="C111" i="42"/>
  <c r="C107" i="42"/>
  <c r="G114" i="54"/>
  <c r="H114" i="54" s="1"/>
  <c r="H116" i="54" s="1"/>
  <c r="F39" i="54"/>
  <c r="H39" i="54"/>
  <c r="F38" i="54"/>
  <c r="H38" i="54" s="1"/>
  <c r="F37" i="54"/>
  <c r="H37" i="54"/>
  <c r="F36" i="54"/>
  <c r="H36" i="54" s="1"/>
  <c r="C121" i="42"/>
  <c r="C120" i="42"/>
  <c r="G71" i="54"/>
  <c r="H71" i="54" s="1"/>
  <c r="H74" i="54" s="1"/>
  <c r="D34" i="54"/>
  <c r="A32" i="54"/>
  <c r="A23" i="54"/>
  <c r="A57" i="54"/>
  <c r="D114" i="54"/>
  <c r="H109" i="54"/>
  <c r="H111" i="54"/>
  <c r="G117" i="42"/>
  <c r="H104" i="54"/>
  <c r="H99" i="54"/>
  <c r="H95" i="54"/>
  <c r="H94" i="54"/>
  <c r="H93" i="54"/>
  <c r="H90" i="54"/>
  <c r="D90" i="54"/>
  <c r="H89" i="54"/>
  <c r="H87" i="54"/>
  <c r="H82" i="54"/>
  <c r="D82" i="54"/>
  <c r="D81" i="54"/>
  <c r="C114" i="42" s="1"/>
  <c r="H77" i="54"/>
  <c r="D77" i="54"/>
  <c r="D71" i="54"/>
  <c r="H70" i="54"/>
  <c r="H65" i="54"/>
  <c r="F60" i="54"/>
  <c r="H60" i="54" s="1"/>
  <c r="H62" i="54" s="1"/>
  <c r="G111" i="42"/>
  <c r="H35" i="54"/>
  <c r="E200" i="42"/>
  <c r="G200" i="42" s="1"/>
  <c r="E196" i="42"/>
  <c r="G196" i="42"/>
  <c r="E194" i="42"/>
  <c r="G194" i="42" s="1"/>
  <c r="G104" i="42"/>
  <c r="G103" i="42"/>
  <c r="G101" i="42"/>
  <c r="E99" i="42"/>
  <c r="G99" i="42"/>
  <c r="G98" i="42"/>
  <c r="G91" i="42"/>
  <c r="G94" i="42"/>
  <c r="G95" i="42"/>
  <c r="G96" i="42"/>
  <c r="G97" i="42"/>
  <c r="G89" i="42"/>
  <c r="G88" i="42"/>
  <c r="G90" i="42"/>
  <c r="G87" i="42"/>
  <c r="G86" i="42"/>
  <c r="E16" i="42"/>
  <c r="G16" i="42" s="1"/>
  <c r="G69" i="42"/>
  <c r="G70" i="42"/>
  <c r="E68" i="42"/>
  <c r="G68" i="42" s="1"/>
  <c r="H27" i="54"/>
  <c r="C71" i="42"/>
  <c r="H26" i="54"/>
  <c r="G47" i="42"/>
  <c r="G48" i="42"/>
  <c r="G49" i="42"/>
  <c r="C82" i="42"/>
  <c r="G55" i="42"/>
  <c r="F82" i="55"/>
  <c r="G77" i="55"/>
  <c r="F78" i="55" s="1"/>
  <c r="F77" i="55"/>
  <c r="K65" i="55"/>
  <c r="N65" i="55"/>
  <c r="O65" i="55"/>
  <c r="P65" i="55"/>
  <c r="Q65" i="55"/>
  <c r="R65" i="55"/>
  <c r="S65" i="55"/>
  <c r="T65" i="55"/>
  <c r="D65" i="55"/>
  <c r="E43" i="42"/>
  <c r="G43" i="42" s="1"/>
  <c r="K30" i="55"/>
  <c r="K31" i="55"/>
  <c r="K34" i="55"/>
  <c r="K35" i="55"/>
  <c r="K36" i="55"/>
  <c r="K37" i="55"/>
  <c r="K38" i="55"/>
  <c r="K29" i="55"/>
  <c r="E39" i="42"/>
  <c r="G39" i="42" s="1"/>
  <c r="E38" i="42"/>
  <c r="G38" i="42"/>
  <c r="E32" i="42"/>
  <c r="G32" i="42" s="1"/>
  <c r="E31" i="42"/>
  <c r="G31" i="42"/>
  <c r="L31" i="55"/>
  <c r="E33" i="42" s="1"/>
  <c r="G33" i="42" s="1"/>
  <c r="G23" i="42"/>
  <c r="E21" i="42"/>
  <c r="G21" i="42" s="1"/>
  <c r="F42" i="55"/>
  <c r="F41" i="55"/>
  <c r="F40" i="55"/>
  <c r="F43" i="55" s="1"/>
  <c r="E22" i="42" s="1"/>
  <c r="G22" i="42" s="1"/>
  <c r="F39" i="55"/>
  <c r="J38" i="55"/>
  <c r="F38" i="55"/>
  <c r="J37" i="55"/>
  <c r="F37" i="55"/>
  <c r="J36" i="55"/>
  <c r="F36" i="55"/>
  <c r="J35" i="55"/>
  <c r="F35" i="55"/>
  <c r="J34" i="55"/>
  <c r="F34" i="55"/>
  <c r="G33" i="55"/>
  <c r="F33" i="55"/>
  <c r="G32" i="55"/>
  <c r="F32" i="55"/>
  <c r="J31" i="55"/>
  <c r="F31" i="55"/>
  <c r="D31" i="55"/>
  <c r="E29" i="42"/>
  <c r="G29" i="42" s="1"/>
  <c r="J30" i="55"/>
  <c r="F30" i="55"/>
  <c r="J29" i="55"/>
  <c r="F29" i="55"/>
  <c r="F28" i="55"/>
  <c r="I10" i="55"/>
  <c r="I8" i="55"/>
  <c r="I7" i="55"/>
  <c r="I6" i="55"/>
  <c r="I5" i="55"/>
  <c r="I13" i="55" s="1"/>
  <c r="D11" i="55"/>
  <c r="E11" i="55" s="1"/>
  <c r="D6" i="55"/>
  <c r="E6" i="55"/>
  <c r="M54" i="55"/>
  <c r="M55" i="55"/>
  <c r="M56" i="55"/>
  <c r="M57" i="55"/>
  <c r="M58" i="55"/>
  <c r="M59" i="55"/>
  <c r="M60" i="55"/>
  <c r="M53" i="55"/>
  <c r="M65" i="55" s="1"/>
  <c r="E78" i="42" s="1"/>
  <c r="G78" i="42" s="1"/>
  <c r="E93" i="42"/>
  <c r="G93" i="42" s="1"/>
  <c r="E84" i="42"/>
  <c r="G84" i="42"/>
  <c r="E92" i="42"/>
  <c r="G92" i="42" s="1"/>
  <c r="G26" i="56"/>
  <c r="G25" i="56"/>
  <c r="J60" i="55"/>
  <c r="J59" i="55"/>
  <c r="J58" i="55"/>
  <c r="J57" i="55"/>
  <c r="L56" i="55"/>
  <c r="E67" i="42" s="1"/>
  <c r="L65" i="55"/>
  <c r="J55" i="55"/>
  <c r="J54" i="55"/>
  <c r="J65" i="55"/>
  <c r="E81" i="42" s="1"/>
  <c r="I53" i="55"/>
  <c r="I65" i="55" s="1"/>
  <c r="E80" i="42" s="1"/>
  <c r="G80" i="42" s="1"/>
  <c r="H54" i="55"/>
  <c r="H55" i="55"/>
  <c r="H56" i="55"/>
  <c r="H57" i="55"/>
  <c r="H58" i="55"/>
  <c r="H59" i="55"/>
  <c r="H60" i="55"/>
  <c r="H53" i="55"/>
  <c r="G60" i="55"/>
  <c r="G59" i="55"/>
  <c r="G58" i="55"/>
  <c r="G57" i="55"/>
  <c r="G56" i="55"/>
  <c r="G55" i="55"/>
  <c r="G54" i="55"/>
  <c r="G53" i="55"/>
  <c r="G65" i="55"/>
  <c r="E58" i="42" s="1"/>
  <c r="G58" i="42" s="1"/>
  <c r="F27" i="56"/>
  <c r="D27" i="56"/>
  <c r="F26" i="56"/>
  <c r="D26" i="56"/>
  <c r="E26" i="56"/>
  <c r="F25" i="56"/>
  <c r="F29" i="56" s="1"/>
  <c r="D25" i="56"/>
  <c r="E25" i="56" s="1"/>
  <c r="E20" i="56"/>
  <c r="D20" i="56"/>
  <c r="E19" i="56"/>
  <c r="D19" i="56"/>
  <c r="E18" i="56"/>
  <c r="D18" i="56"/>
  <c r="E17" i="56"/>
  <c r="D17" i="56"/>
  <c r="E16" i="56"/>
  <c r="D16" i="56"/>
  <c r="E15" i="56"/>
  <c r="D15" i="56"/>
  <c r="E14" i="56"/>
  <c r="D14" i="56"/>
  <c r="E13" i="56"/>
  <c r="E22" i="56" s="1"/>
  <c r="D13" i="56"/>
  <c r="F54" i="55"/>
  <c r="F55" i="55"/>
  <c r="F56" i="55"/>
  <c r="F57" i="55"/>
  <c r="F58" i="55"/>
  <c r="F59" i="55"/>
  <c r="F60" i="55"/>
  <c r="F53" i="55"/>
  <c r="F65" i="55"/>
  <c r="E67" i="55" s="1"/>
  <c r="V78" i="55"/>
  <c r="V77" i="55"/>
  <c r="V76" i="55"/>
  <c r="V75" i="55"/>
  <c r="V74" i="55"/>
  <c r="V73" i="55"/>
  <c r="V72" i="55"/>
  <c r="V71" i="55"/>
  <c r="E12" i="42"/>
  <c r="G12" i="42" s="1"/>
  <c r="G9" i="42" s="1"/>
  <c r="G134" i="42"/>
  <c r="H212" i="54"/>
  <c r="G27" i="42"/>
  <c r="G28" i="42"/>
  <c r="G42" i="42"/>
  <c r="G200" i="54"/>
  <c r="H200" i="54"/>
  <c r="G199" i="54"/>
  <c r="H199" i="54"/>
  <c r="G180" i="42"/>
  <c r="G189" i="54"/>
  <c r="H189" i="54"/>
  <c r="G188" i="54"/>
  <c r="H188" i="54"/>
  <c r="G181" i="54"/>
  <c r="H181" i="54"/>
  <c r="G180" i="54"/>
  <c r="H180" i="54"/>
  <c r="G173" i="54"/>
  <c r="H173" i="54"/>
  <c r="G172" i="54"/>
  <c r="H172" i="54"/>
  <c r="G109" i="42"/>
  <c r="A3" i="47"/>
  <c r="A67" i="47"/>
  <c r="A113" i="47"/>
  <c r="S8" i="47"/>
  <c r="G163" i="42"/>
  <c r="G162" i="42" s="1"/>
  <c r="C22" i="47" s="1"/>
  <c r="E22" i="47" s="1"/>
  <c r="F22" i="47" s="1"/>
  <c r="G144" i="42"/>
  <c r="G145" i="42"/>
  <c r="G149" i="42"/>
  <c r="G150" i="42"/>
  <c r="G151" i="42"/>
  <c r="G107" i="42"/>
  <c r="H211" i="54"/>
  <c r="D204" i="54"/>
  <c r="C180" i="42"/>
  <c r="H205" i="54"/>
  <c r="H204" i="54"/>
  <c r="H203" i="54"/>
  <c r="H202" i="54"/>
  <c r="H201" i="54"/>
  <c r="H194" i="54"/>
  <c r="H193" i="54"/>
  <c r="H192" i="54"/>
  <c r="H191" i="54"/>
  <c r="H190" i="54"/>
  <c r="H184" i="54"/>
  <c r="H183" i="54"/>
  <c r="H182" i="54"/>
  <c r="H176" i="54"/>
  <c r="H175" i="54"/>
  <c r="H174" i="54"/>
  <c r="A124" i="54"/>
  <c r="G148" i="42"/>
  <c r="C108" i="42"/>
  <c r="I26" i="47"/>
  <c r="S26" i="47"/>
  <c r="G13" i="42"/>
  <c r="C58" i="42"/>
  <c r="C38" i="42"/>
  <c r="G174" i="42"/>
  <c r="G173" i="42" s="1"/>
  <c r="C23" i="47" s="1"/>
  <c r="E23" i="47" s="1"/>
  <c r="F23" i="47" s="1"/>
  <c r="G136" i="42"/>
  <c r="G20" i="42"/>
  <c r="B25" i="47"/>
  <c r="G10" i="42"/>
  <c r="E13" i="48"/>
  <c r="E13" i="49"/>
  <c r="A12" i="48"/>
  <c r="A12" i="49"/>
  <c r="F2" i="42"/>
  <c r="A13" i="47"/>
  <c r="A14" i="47" s="1"/>
  <c r="A15" i="47" s="1"/>
  <c r="A16" i="47"/>
  <c r="A17" i="47"/>
  <c r="A18" i="47" s="1"/>
  <c r="A19" i="47" s="1"/>
  <c r="A20" i="47" s="1"/>
  <c r="A21" i="47" s="1"/>
  <c r="A22" i="47" s="1"/>
  <c r="A23" i="47" s="1"/>
  <c r="A24" i="47" s="1"/>
  <c r="A25" i="47"/>
  <c r="A26" i="47" s="1"/>
  <c r="E5" i="47"/>
  <c r="E69" i="47"/>
  <c r="E115" i="47"/>
  <c r="A7" i="47"/>
  <c r="A71" i="47"/>
  <c r="A117" i="47"/>
  <c r="A5" i="47"/>
  <c r="A69" i="47" s="1"/>
  <c r="A115" i="47" s="1"/>
  <c r="B26" i="47"/>
  <c r="B24" i="47"/>
  <c r="B23" i="47"/>
  <c r="B22" i="47"/>
  <c r="B21" i="47"/>
  <c r="B20" i="47"/>
  <c r="B19" i="47"/>
  <c r="B18" i="47"/>
  <c r="B17" i="47"/>
  <c r="B16" i="47"/>
  <c r="B15" i="47"/>
  <c r="B14" i="47"/>
  <c r="B13" i="47"/>
  <c r="B12" i="47"/>
  <c r="B11" i="47"/>
  <c r="G129" i="42"/>
  <c r="T12" i="47"/>
  <c r="T13" i="47" s="1"/>
  <c r="B31" i="47"/>
  <c r="J47" i="50"/>
  <c r="I47" i="50"/>
  <c r="H47" i="50"/>
  <c r="G47" i="50"/>
  <c r="J43" i="50"/>
  <c r="I43" i="50"/>
  <c r="H43" i="50"/>
  <c r="G43" i="50"/>
  <c r="J36" i="50"/>
  <c r="I36" i="50"/>
  <c r="H36" i="50"/>
  <c r="H49" i="50" s="1"/>
  <c r="G36" i="50"/>
  <c r="J24" i="50"/>
  <c r="J49" i="50" s="1"/>
  <c r="I24" i="50"/>
  <c r="I49" i="50" s="1"/>
  <c r="H24" i="50"/>
  <c r="G24" i="50"/>
  <c r="G49" i="50" s="1"/>
  <c r="U6" i="47"/>
  <c r="C26" i="49"/>
  <c r="C30" i="49"/>
  <c r="C37" i="49"/>
  <c r="C44" i="49" s="1"/>
  <c r="C26" i="48"/>
  <c r="C30" i="48"/>
  <c r="H36" i="48"/>
  <c r="C38" i="48"/>
  <c r="C45" i="48" s="1"/>
  <c r="S7" i="47"/>
  <c r="V65" i="55"/>
  <c r="V67" i="55"/>
  <c r="V66" i="55"/>
  <c r="F29" i="54"/>
  <c r="D22" i="56"/>
  <c r="S14" i="47"/>
  <c r="I15" i="47"/>
  <c r="S15" i="47"/>
  <c r="S24" i="47"/>
  <c r="S20" i="47"/>
  <c r="S23" i="47"/>
  <c r="K12" i="47"/>
  <c r="S12" i="47"/>
  <c r="I17" i="47"/>
  <c r="S18" i="47"/>
  <c r="S25" i="47"/>
  <c r="S21" i="47"/>
  <c r="S22" i="47"/>
  <c r="I19" i="47"/>
  <c r="S19" i="47"/>
  <c r="S16" i="47"/>
  <c r="G67" i="42"/>
  <c r="G158" i="42"/>
  <c r="G159" i="42"/>
  <c r="H135" i="54"/>
  <c r="H48" i="54"/>
  <c r="H55" i="54" s="1"/>
  <c r="H50" i="54"/>
  <c r="H51" i="54"/>
  <c r="H47" i="54"/>
  <c r="E192" i="42"/>
  <c r="G192" i="42" s="1"/>
  <c r="E44" i="42"/>
  <c r="G44" i="42"/>
  <c r="G54" i="42"/>
  <c r="H42" i="54"/>
  <c r="G77" i="42"/>
  <c r="G112" i="42"/>
  <c r="G108" i="42"/>
  <c r="G160" i="42"/>
  <c r="H139" i="54"/>
  <c r="G139" i="42"/>
  <c r="G143" i="42"/>
  <c r="G135" i="42" s="1"/>
  <c r="G169" i="42"/>
  <c r="G105" i="42"/>
  <c r="E197" i="42"/>
  <c r="E82" i="42"/>
  <c r="G82" i="42" s="1"/>
  <c r="K32" i="55"/>
  <c r="J32" i="55"/>
  <c r="C11" i="47"/>
  <c r="G189" i="42"/>
  <c r="G141" i="42"/>
  <c r="G178" i="42"/>
  <c r="G177" i="42"/>
  <c r="C24" i="47" s="1"/>
  <c r="E24" i="47" s="1"/>
  <c r="F24" i="47"/>
  <c r="G179" i="42"/>
  <c r="G142" i="42"/>
  <c r="E30" i="42"/>
  <c r="G30" i="42" s="1"/>
  <c r="L20" i="47" l="1"/>
  <c r="H20" i="47"/>
  <c r="H23" i="47"/>
  <c r="J23" i="47"/>
  <c r="C21" i="47"/>
  <c r="E21" i="47" s="1"/>
  <c r="F21" i="47" s="1"/>
  <c r="J20" i="47"/>
  <c r="H206" i="54"/>
  <c r="L23" i="47"/>
  <c r="E50" i="42"/>
  <c r="G50" i="42" s="1"/>
  <c r="F80" i="55"/>
  <c r="F83" i="55" s="1"/>
  <c r="E46" i="42" s="1"/>
  <c r="L22" i="47"/>
  <c r="J22" i="47"/>
  <c r="H22" i="47"/>
  <c r="E11" i="47"/>
  <c r="J24" i="47"/>
  <c r="H24" i="47"/>
  <c r="L24" i="47"/>
  <c r="E27" i="56"/>
  <c r="E29" i="56" s="1"/>
  <c r="D29" i="56"/>
  <c r="E83" i="42"/>
  <c r="G83" i="42" s="1"/>
  <c r="G81" i="42"/>
  <c r="K33" i="55"/>
  <c r="K40" i="55" s="1"/>
  <c r="E41" i="42" s="1"/>
  <c r="G41" i="42" s="1"/>
  <c r="J33" i="55"/>
  <c r="G197" i="42"/>
  <c r="D7" i="42"/>
  <c r="E65" i="42"/>
  <c r="G65" i="42" s="1"/>
  <c r="E66" i="42"/>
  <c r="G66" i="42" s="1"/>
  <c r="E53" i="42"/>
  <c r="G14" i="42"/>
  <c r="G85" i="42"/>
  <c r="G187" i="42"/>
  <c r="G106" i="42"/>
  <c r="H177" i="54"/>
  <c r="H185" i="54"/>
  <c r="H195" i="54"/>
  <c r="H65" i="55"/>
  <c r="J40" i="55"/>
  <c r="E25" i="42" s="1"/>
  <c r="G25" i="42" s="1"/>
  <c r="S17" i="47"/>
  <c r="H30" i="54"/>
  <c r="G193" i="42"/>
  <c r="H146" i="54"/>
  <c r="E74" i="42"/>
  <c r="G19" i="42" l="1"/>
  <c r="C25" i="47"/>
  <c r="E25" i="47" s="1"/>
  <c r="F25" i="47" s="1"/>
  <c r="L21" i="47"/>
  <c r="J21" i="47"/>
  <c r="H21" i="47"/>
  <c r="C26" i="47"/>
  <c r="E26" i="47" s="1"/>
  <c r="F26" i="47" s="1"/>
  <c r="F11" i="47"/>
  <c r="G74" i="42"/>
  <c r="E76" i="42"/>
  <c r="G76" i="42" s="1"/>
  <c r="E75" i="42"/>
  <c r="G75" i="42" s="1"/>
  <c r="G79" i="42"/>
  <c r="C18" i="47"/>
  <c r="E18" i="47" s="1"/>
  <c r="F18" i="47" s="1"/>
  <c r="E7" i="54"/>
  <c r="E7" i="50"/>
  <c r="E7" i="49"/>
  <c r="E7" i="47"/>
  <c r="E71" i="47" s="1"/>
  <c r="E117" i="47" s="1"/>
  <c r="E7" i="48"/>
  <c r="G53" i="42"/>
  <c r="E57" i="42"/>
  <c r="C19" i="47"/>
  <c r="E19" i="47" s="1"/>
  <c r="F19" i="47" s="1"/>
  <c r="C31" i="47"/>
  <c r="E63" i="42"/>
  <c r="G46" i="42"/>
  <c r="G72" i="42" l="1"/>
  <c r="H26" i="47"/>
  <c r="L26" i="47"/>
  <c r="J26" i="47"/>
  <c r="J25" i="47"/>
  <c r="H25" i="47"/>
  <c r="L25" i="47"/>
  <c r="H19" i="47"/>
  <c r="J19" i="47"/>
  <c r="L19" i="47"/>
  <c r="C33" i="47"/>
  <c r="E31" i="47"/>
  <c r="C17" i="47"/>
  <c r="E17" i="47" s="1"/>
  <c r="F17" i="47" s="1"/>
  <c r="H11" i="47"/>
  <c r="L11" i="47"/>
  <c r="J11" i="47"/>
  <c r="C12" i="47"/>
  <c r="L18" i="47"/>
  <c r="H18" i="47"/>
  <c r="J18" i="47"/>
  <c r="G45" i="42"/>
  <c r="G63" i="42"/>
  <c r="E64" i="42"/>
  <c r="G64" i="42" s="1"/>
  <c r="G57" i="42"/>
  <c r="E56" i="42"/>
  <c r="G56" i="42" s="1"/>
  <c r="E12" i="47" l="1"/>
  <c r="F31" i="47"/>
  <c r="E33" i="47"/>
  <c r="C16" i="47"/>
  <c r="E16" i="47" s="1"/>
  <c r="F16" i="47" s="1"/>
  <c r="C13" i="47"/>
  <c r="E13" i="47" s="1"/>
  <c r="F13" i="47" s="1"/>
  <c r="G62" i="42"/>
  <c r="H17" i="47"/>
  <c r="L17" i="47"/>
  <c r="J17" i="47"/>
  <c r="G51" i="42"/>
  <c r="C14" i="47" l="1"/>
  <c r="E14" i="47" s="1"/>
  <c r="F14" i="47" s="1"/>
  <c r="C15" i="47"/>
  <c r="E15" i="47" s="1"/>
  <c r="F15" i="47" s="1"/>
  <c r="I201" i="42"/>
  <c r="G201" i="42"/>
  <c r="J16" i="47"/>
  <c r="H16" i="47"/>
  <c r="L16" i="47"/>
  <c r="C27" i="47"/>
  <c r="C35" i="47" s="1"/>
  <c r="H13" i="47"/>
  <c r="L13" i="47"/>
  <c r="J13" i="47"/>
  <c r="F33" i="47"/>
  <c r="F12" i="47"/>
  <c r="E27" i="47"/>
  <c r="E35" i="47" s="1"/>
  <c r="H12" i="47" l="1"/>
  <c r="L12" i="47"/>
  <c r="J12" i="47"/>
  <c r="F27" i="47"/>
  <c r="G202" i="42"/>
  <c r="G203" i="42"/>
  <c r="H201" i="42" s="1"/>
  <c r="H15" i="47"/>
  <c r="J15" i="47"/>
  <c r="L15" i="47"/>
  <c r="F35" i="47"/>
  <c r="L14" i="47"/>
  <c r="H14" i="47"/>
  <c r="J14" i="47"/>
  <c r="J27" i="47" l="1"/>
  <c r="I27" i="47" s="1"/>
  <c r="I31" i="47" s="1"/>
  <c r="H35" i="42"/>
  <c r="H134" i="42"/>
  <c r="H175" i="42"/>
  <c r="H184" i="42"/>
  <c r="H186" i="42"/>
  <c r="H194" i="42"/>
  <c r="H154" i="42"/>
  <c r="H33" i="42"/>
  <c r="H96" i="42"/>
  <c r="H183" i="42"/>
  <c r="H151" i="42"/>
  <c r="H36" i="42"/>
  <c r="J14" i="42"/>
  <c r="H176" i="42"/>
  <c r="H28" i="42"/>
  <c r="H118" i="42"/>
  <c r="H98" i="42"/>
  <c r="H95" i="42"/>
  <c r="H200" i="42"/>
  <c r="H158" i="42"/>
  <c r="H102" i="42"/>
  <c r="H49" i="42"/>
  <c r="H124" i="42"/>
  <c r="H44" i="42"/>
  <c r="H11" i="42"/>
  <c r="H87" i="42"/>
  <c r="H169" i="42"/>
  <c r="H165" i="42"/>
  <c r="H104" i="42"/>
  <c r="H144" i="42"/>
  <c r="H155" i="42"/>
  <c r="H150" i="42"/>
  <c r="H133" i="42"/>
  <c r="H137" i="42"/>
  <c r="H170" i="42"/>
  <c r="H58" i="42"/>
  <c r="H119" i="42"/>
  <c r="H172" i="42"/>
  <c r="H177" i="42"/>
  <c r="H164" i="42"/>
  <c r="H90" i="42"/>
  <c r="H55" i="42"/>
  <c r="H69" i="42"/>
  <c r="H29" i="42"/>
  <c r="H86" i="42"/>
  <c r="H60" i="42"/>
  <c r="H195" i="42"/>
  <c r="H70" i="42"/>
  <c r="H89" i="42"/>
  <c r="H68" i="42"/>
  <c r="H140" i="42"/>
  <c r="H18" i="42"/>
  <c r="H122" i="42"/>
  <c r="H84" i="42"/>
  <c r="H127" i="42"/>
  <c r="H185" i="42"/>
  <c r="H47" i="42"/>
  <c r="H120" i="42"/>
  <c r="H15" i="42"/>
  <c r="H10" i="42"/>
  <c r="H157" i="42"/>
  <c r="H167" i="42"/>
  <c r="H178" i="42"/>
  <c r="H114" i="42"/>
  <c r="H136" i="42"/>
  <c r="H88" i="42"/>
  <c r="H27" i="42"/>
  <c r="H191" i="42"/>
  <c r="H94" i="42"/>
  <c r="H168" i="42"/>
  <c r="H148" i="42"/>
  <c r="H198" i="42"/>
  <c r="H39" i="42"/>
  <c r="H111" i="42"/>
  <c r="H142" i="42"/>
  <c r="H13" i="42"/>
  <c r="H109" i="42"/>
  <c r="H203" i="42"/>
  <c r="H26" i="42"/>
  <c r="H34" i="42"/>
  <c r="H126" i="42"/>
  <c r="H161" i="42"/>
  <c r="H123" i="42"/>
  <c r="H141" i="42"/>
  <c r="H48" i="42"/>
  <c r="H146" i="42"/>
  <c r="H199" i="42"/>
  <c r="H97" i="42"/>
  <c r="H20" i="42"/>
  <c r="H139" i="42"/>
  <c r="H130" i="42"/>
  <c r="H131" i="42"/>
  <c r="H143" i="42"/>
  <c r="H132" i="42"/>
  <c r="H12" i="42"/>
  <c r="H190" i="42"/>
  <c r="H9" i="42"/>
  <c r="H115" i="42"/>
  <c r="H171" i="42"/>
  <c r="H152" i="42"/>
  <c r="H145" i="42"/>
  <c r="H180" i="42"/>
  <c r="H117" i="42"/>
  <c r="H163" i="42"/>
  <c r="H16" i="42"/>
  <c r="H182" i="42"/>
  <c r="H67" i="42"/>
  <c r="H112" i="42"/>
  <c r="H113" i="42"/>
  <c r="H110" i="42"/>
  <c r="H153" i="42"/>
  <c r="H107" i="42"/>
  <c r="H147" i="42"/>
  <c r="H101" i="42"/>
  <c r="H24" i="42"/>
  <c r="H17" i="42"/>
  <c r="H37" i="42"/>
  <c r="H181" i="42"/>
  <c r="H166" i="42"/>
  <c r="H23" i="42"/>
  <c r="H188" i="42"/>
  <c r="G7" i="47"/>
  <c r="H138" i="42"/>
  <c r="H30" i="42"/>
  <c r="H99" i="42"/>
  <c r="H71" i="42"/>
  <c r="H105" i="42"/>
  <c r="H80" i="42"/>
  <c r="H149" i="42"/>
  <c r="H160" i="42"/>
  <c r="H189" i="42"/>
  <c r="H42" i="42"/>
  <c r="H31" i="42"/>
  <c r="H93" i="42"/>
  <c r="H40" i="42"/>
  <c r="H173" i="42"/>
  <c r="H59" i="42"/>
  <c r="H116" i="42"/>
  <c r="H61" i="42"/>
  <c r="H125" i="42"/>
  <c r="H91" i="42"/>
  <c r="H21" i="42"/>
  <c r="H129" i="42"/>
  <c r="H77" i="42"/>
  <c r="H159" i="42"/>
  <c r="H38" i="42"/>
  <c r="H128" i="42"/>
  <c r="H174" i="42"/>
  <c r="H179" i="42"/>
  <c r="H192" i="42"/>
  <c r="H73" i="42"/>
  <c r="H121" i="42"/>
  <c r="H196" i="42"/>
  <c r="H82" i="42"/>
  <c r="H135" i="42"/>
  <c r="H43" i="42"/>
  <c r="H108" i="42"/>
  <c r="H156" i="42"/>
  <c r="H52" i="42"/>
  <c r="H162" i="42"/>
  <c r="H103" i="42"/>
  <c r="H92" i="42"/>
  <c r="H22" i="42"/>
  <c r="H54" i="42"/>
  <c r="H78" i="42"/>
  <c r="H32" i="42"/>
  <c r="H41" i="42"/>
  <c r="H66" i="42"/>
  <c r="H85" i="42"/>
  <c r="H14" i="42"/>
  <c r="H81" i="42"/>
  <c r="H187" i="42"/>
  <c r="H83" i="42"/>
  <c r="H193" i="42"/>
  <c r="H65" i="42"/>
  <c r="H50" i="42"/>
  <c r="H197" i="42"/>
  <c r="H25" i="42"/>
  <c r="H106" i="42"/>
  <c r="H76" i="42"/>
  <c r="H74" i="42"/>
  <c r="H79" i="42"/>
  <c r="H75" i="42"/>
  <c r="H19" i="42"/>
  <c r="H46" i="42"/>
  <c r="H53" i="42"/>
  <c r="H64" i="42"/>
  <c r="H45" i="42"/>
  <c r="H56" i="42"/>
  <c r="H72" i="42"/>
  <c r="H57" i="42"/>
  <c r="H63" i="42"/>
  <c r="H51" i="42"/>
  <c r="H62" i="42"/>
  <c r="H202" i="42"/>
  <c r="L27" i="47"/>
  <c r="K27" i="47" s="1"/>
  <c r="K31" i="47" s="1"/>
  <c r="H27" i="47"/>
  <c r="G27" i="47" s="1"/>
  <c r="G71" i="47" l="1"/>
  <c r="J7" i="47"/>
  <c r="D23" i="47"/>
  <c r="D24" i="47"/>
  <c r="D22" i="47"/>
  <c r="D20" i="47"/>
  <c r="D21" i="47"/>
  <c r="D19" i="47"/>
  <c r="D18" i="47"/>
  <c r="D26" i="47"/>
  <c r="D25" i="47"/>
  <c r="D11" i="47"/>
  <c r="D27" i="47" s="1"/>
  <c r="D35" i="47" s="1"/>
  <c r="D17" i="47"/>
  <c r="D31" i="47"/>
  <c r="D33" i="47" s="1"/>
  <c r="D16" i="47"/>
  <c r="D13" i="47"/>
  <c r="D15" i="47"/>
  <c r="D12" i="47"/>
  <c r="D14" i="47"/>
  <c r="S27" i="47"/>
  <c r="G31" i="47"/>
  <c r="L31" i="47"/>
  <c r="L33" i="47" s="1"/>
  <c r="L35" i="47" s="1"/>
  <c r="K33" i="47"/>
  <c r="I33" i="47"/>
  <c r="J31" i="47"/>
  <c r="J33" i="47" s="1"/>
  <c r="J35" i="47" s="1"/>
  <c r="U13" i="47" l="1"/>
  <c r="K35" i="47"/>
  <c r="U12" i="47"/>
  <c r="I35" i="47"/>
  <c r="H31" i="47"/>
  <c r="H33" i="47" s="1"/>
  <c r="S31" i="47"/>
  <c r="J71" i="47"/>
  <c r="G117" i="47"/>
  <c r="J117" i="47" s="1"/>
  <c r="H35" i="47" l="1"/>
  <c r="G33" i="47"/>
  <c r="S33" i="47" s="1"/>
  <c r="G35" i="47" l="1"/>
  <c r="G36" i="47" s="1"/>
  <c r="U11" i="47"/>
  <c r="H36" i="47"/>
  <c r="J36" i="47" s="1"/>
  <c r="L36" i="47" s="1"/>
  <c r="S37" i="47" l="1"/>
  <c r="S36" i="47"/>
  <c r="I36" i="47"/>
  <c r="V11" i="47"/>
  <c r="V12" i="47" l="1"/>
  <c r="K36" i="47"/>
  <c r="V13" i="47" s="1"/>
</calcChain>
</file>

<file path=xl/sharedStrings.xml><?xml version="1.0" encoding="utf-8"?>
<sst xmlns="http://schemas.openxmlformats.org/spreadsheetml/2006/main" count="1583" uniqueCount="814">
  <si>
    <t>%</t>
  </si>
  <si>
    <t>M2</t>
  </si>
  <si>
    <t>UND</t>
  </si>
  <si>
    <t>DESCRIÇÃO</t>
  </si>
  <si>
    <t>M3</t>
  </si>
  <si>
    <t>Obra:</t>
  </si>
  <si>
    <t>Endereço:</t>
  </si>
  <si>
    <t>Data:</t>
  </si>
  <si>
    <t>TOTAL:</t>
  </si>
  <si>
    <t>Área (m²):</t>
  </si>
  <si>
    <t>INSTALAÇÕES ELÉTRICAS</t>
  </si>
  <si>
    <t>CLIMATIZAÇÃO</t>
  </si>
  <si>
    <t>SUBTOTAL I:</t>
  </si>
  <si>
    <t>UNIVERSIDADE FEDERAL DA BAHIA</t>
  </si>
  <si>
    <t>ESQUADRIAS</t>
  </si>
  <si>
    <t>TOTAL</t>
  </si>
  <si>
    <t xml:space="preserve"> </t>
  </si>
  <si>
    <t>M</t>
  </si>
  <si>
    <t>M3XKM</t>
  </si>
  <si>
    <t xml:space="preserve">ADMINISTRAÇÃO LOCAL </t>
  </si>
  <si>
    <t>2.1</t>
  </si>
  <si>
    <t>MÊS</t>
  </si>
  <si>
    <t>SERVIÇOS FINAIS E DESMOBILIZAÇÃO</t>
  </si>
  <si>
    <t>LIMPEZA FINAL DA OBRA</t>
  </si>
  <si>
    <t>Área (m2):</t>
  </si>
  <si>
    <t>Valor Total (R$):</t>
  </si>
  <si>
    <t>Custo p/m2 (R$):</t>
  </si>
  <si>
    <t>l.d.i.:</t>
  </si>
  <si>
    <t>CRONOGRAMA FÍSICO-FINANCEIRO</t>
  </si>
  <si>
    <t>ITEM</t>
  </si>
  <si>
    <t>SERVIÇOS</t>
  </si>
  <si>
    <t>V. ITEM (R$)</t>
  </si>
  <si>
    <t>L.D.I.</t>
  </si>
  <si>
    <t>30 Dias</t>
  </si>
  <si>
    <t>60 Dias</t>
  </si>
  <si>
    <t>90 Dias</t>
  </si>
  <si>
    <t>Valor(R$)</t>
  </si>
  <si>
    <t>TOTAL GERAL</t>
  </si>
  <si>
    <t>TOTAL ACUMULADO</t>
  </si>
  <si>
    <t>REVESTIMENTOS</t>
  </si>
  <si>
    <t>PAVIMENTAÇÃO</t>
  </si>
  <si>
    <t>CABO DE COBRE FLEXÍVEL ISOLADO, 2,5 MM², ANTI-CHAMA 450/750 V, PARA CIRCUITOS TERMINAIS - FORNECIMENTO E INSTALAÇÃO. AF_12/2015</t>
  </si>
  <si>
    <t>SUBTOTAL   I   (SERVIÇOS)</t>
  </si>
  <si>
    <t>SUBTOTAL   II  (ADM LOCAL)</t>
  </si>
  <si>
    <t>MEMÓRIA DE CALCULO DO BDI</t>
  </si>
  <si>
    <t>REVISÃO:</t>
  </si>
  <si>
    <t>04</t>
  </si>
  <si>
    <t>CLIENTE: UNIVERSIDADE FEDERAL DA BAHIA</t>
  </si>
  <si>
    <t>DATA:</t>
  </si>
  <si>
    <t>MEMÓRIA DE CALCULO DO BDI  DOS SERVIÇOS</t>
  </si>
  <si>
    <t>BDI APLICADO NA OBRA</t>
  </si>
  <si>
    <t>FAIXAS DE ADMISSIBILIDADE DE ACORDO COM O ACORDÃO N. 2622/2013 DO TCU</t>
  </si>
  <si>
    <t xml:space="preserve">DISCRIMINAÇÃO </t>
  </si>
  <si>
    <t>PERC.     (%)</t>
  </si>
  <si>
    <t>MÍNIMO</t>
  </si>
  <si>
    <t>MÉDIO</t>
  </si>
  <si>
    <t>MÁXIMO</t>
  </si>
  <si>
    <t>1.00</t>
  </si>
  <si>
    <t xml:space="preserve"> Despesas Indiretas</t>
  </si>
  <si>
    <t>A1</t>
  </si>
  <si>
    <t>Seguro e Garantia</t>
  </si>
  <si>
    <t>A2</t>
  </si>
  <si>
    <t>Riscos e Imprevistos</t>
  </si>
  <si>
    <t>A3</t>
  </si>
  <si>
    <t>Despesas Financeiras</t>
  </si>
  <si>
    <t>A4</t>
  </si>
  <si>
    <t>Administração Central</t>
  </si>
  <si>
    <t>Total do Grupo A =</t>
  </si>
  <si>
    <t>2.00</t>
  </si>
  <si>
    <t>Benefício</t>
  </si>
  <si>
    <t>B-1</t>
  </si>
  <si>
    <t>LUCRO</t>
  </si>
  <si>
    <t>Total do Grupo B =</t>
  </si>
  <si>
    <t>3.00</t>
  </si>
  <si>
    <t>Impostos</t>
  </si>
  <si>
    <t>CÁLCULO DO ISS</t>
  </si>
  <si>
    <t>C-1</t>
  </si>
  <si>
    <t>PIS / PASEP</t>
  </si>
  <si>
    <t>ALÍQUOTA MUNICIPAL (%)</t>
  </si>
  <si>
    <t>% DE MÃO DE OBRA</t>
  </si>
  <si>
    <t>ALÍQUOTA FINAL (%)</t>
  </si>
  <si>
    <t>C-2</t>
  </si>
  <si>
    <t>COFINS</t>
  </si>
  <si>
    <t>C-3</t>
  </si>
  <si>
    <t>ISS</t>
  </si>
  <si>
    <t>C-4</t>
  </si>
  <si>
    <t>Total do Grupo C =</t>
  </si>
  <si>
    <t>VALORES DO BDI PARA CONSTRUÇÃO DE EDIFÍCIOS DE ACORDO COM O ACORDÃO N. 2622/2013 DO TCU</t>
  </si>
  <si>
    <t>Fórmula Para Cálculo do B.D.I</t>
  </si>
  <si>
    <t>BDI =(((1+A4+A1+A2)*(1+A3)*(1+B1))/(1-C))-1</t>
  </si>
  <si>
    <t>1º QUARTIL</t>
  </si>
  <si>
    <t>3º QUARTIL</t>
  </si>
  <si>
    <t>Bonificação Sobre Despesas indiretas (B.D.I) =</t>
  </si>
  <si>
    <t>Planilha Protegida exceto os itens em azul</t>
  </si>
  <si>
    <t>MEMÓRIA DE CALCULO DO BDI DE EQUIPAMENTOS</t>
  </si>
  <si>
    <t>FAIXAS DE ADMISSIBILIDADE DE ACORDO COM O ACORDÃO N. 2622/2013 E MANUAL DO TCU</t>
  </si>
  <si>
    <t>B1</t>
  </si>
  <si>
    <t>C1</t>
  </si>
  <si>
    <t>C2</t>
  </si>
  <si>
    <t>C3</t>
  </si>
  <si>
    <t>C4</t>
  </si>
  <si>
    <t>VALORES DO BDI DIFERENCIADO PARA CONSTRUÇÃO DE EDIFÍCIOS DE ACORDO COM O ACORDÃO N. 2622/2013 DO TCU</t>
  </si>
  <si>
    <t>BDI =(((1+A4+A1+A2)*(1+A3)*(1+B))/(1-C))-1</t>
  </si>
  <si>
    <t>ENCARGOS SOCIAIS SOBRE A MÃO DE OBRA - SINAPI CAIXA ECONÔMICA FEDERAL</t>
  </si>
  <si>
    <t>BAHIA</t>
  </si>
  <si>
    <t>CÓDIGO</t>
  </si>
  <si>
    <t>COM DESONERAÇÃO</t>
  </si>
  <si>
    <t>SEM DESONERAÇÃO</t>
  </si>
  <si>
    <t>HORISTA          %</t>
  </si>
  <si>
    <t>MENSALISTA       %</t>
  </si>
  <si>
    <t>GRUPO A</t>
  </si>
  <si>
    <t>INSS</t>
  </si>
  <si>
    <t>SESI</t>
  </si>
  <si>
    <t>SENAI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</si>
  <si>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</si>
  <si>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</si>
  <si>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</si>
  <si>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</si>
  <si>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</si>
  <si>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</si>
  <si>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</si>
  <si>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</si>
  <si>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</si>
  <si>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</si>
  <si>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</si>
  <si>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</si>
  <si>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</si>
  <si>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</si>
  <si>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</si>
  <si>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</si>
  <si>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</si>
  <si>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</si>
  <si>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</si>
  <si>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DÉCIMO-TERCEIRO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</si>
  <si>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</si>
  <si>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</si>
  <si>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</si>
  <si>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</si>
  <si>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</si>
  <si>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</si>
  <si>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</si>
  <si>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</si>
  <si>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</si>
  <si>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</si>
  <si>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</si>
  <si>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</si>
  <si>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</si>
  <si>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</si>
  <si>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AVISO PRÉVIO INDENIZADO</t>
  </si>
  <si>
    <t>AVISO PRÉVIO TRABALHADO</t>
  </si>
  <si>
    <t>FÉRIAS INDENIZADAS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</si>
  <si>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</si>
  <si>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</si>
  <si>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</si>
  <si>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</si>
  <si>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</si>
  <si>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</si>
  <si>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</si>
  <si>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</si>
  <si>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</si>
  <si>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(A+B+C+D)</t>
  </si>
  <si>
    <t>COMPOSIÇÃO</t>
  </si>
  <si>
    <t>ATUALIZAÇÃO:</t>
  </si>
  <si>
    <t>CARGA MANUAL DE ENTULHO EM CAMINHAO BASCULANTE 6 M3</t>
  </si>
  <si>
    <t>COORDENAÇÃO DE ORÇAMENTO E PLANEJAMENTO</t>
  </si>
  <si>
    <t>17.1</t>
  </si>
  <si>
    <t>17.2</t>
  </si>
  <si>
    <t>DEPÓSITO RESCISÃO SEM JUSTA CAUSA</t>
  </si>
  <si>
    <t>QUANTIDADE</t>
  </si>
  <si>
    <t>3.1</t>
  </si>
  <si>
    <t>CABO LÓGICO 4 PARES, CATEGORIA 6 - UTP</t>
  </si>
  <si>
    <t>ELETRODUTO RÍGIDO ROSCÁVEL, PVC, DN 60 MM (2") - FORNECIMENTO E INSTALAÇÃO. AF_12/2015</t>
  </si>
  <si>
    <t>INTERRUPTOR PARALELO (1 MÓDULO), 10A/250V, INCLUINDO SUPORTE E PLACA - FORNECIMENTO E INSTALAÇÃO. AF_12/2015</t>
  </si>
  <si>
    <t>INTERRUPTOR SIMPLES (2 MÓDULOS), 10A/250V, INCLUINDO SUPORTE E PLACA - FORNECIMENTO E INSTALAÇÃO. AF_12/2015</t>
  </si>
  <si>
    <t>VERGA PRÉ-MOLDADA PARA JANELAS COM ATÉ 1,5 M DE VÃO. AF_03/2016</t>
  </si>
  <si>
    <t>VERGA PRÉ-MOLDADA PARA PORTAS COM ATÉ 1,5 M DE VÃO. AF_03/2016</t>
  </si>
  <si>
    <t>FIXAÇÃO (ENCUNHAMENTO) DE ALVENARIA DE VEDAÇÃO COM ARGAMASSA APLICADA COM BISNAGA. AF_03/2016</t>
  </si>
  <si>
    <t>RETIRADA DE PORTAS E JANELAS, INCLUSIVE BATENTES</t>
  </si>
  <si>
    <t>RETIRADA DE APARELHOS DE ILUMINACAO C/ REAPROVEITAMENTO DE LAMPADAS</t>
  </si>
  <si>
    <t>DEMOLIÇÕES E RETIRADAS</t>
  </si>
  <si>
    <t>1.2</t>
  </si>
  <si>
    <t>1.3</t>
  </si>
  <si>
    <t>3.3</t>
  </si>
  <si>
    <t>3.5</t>
  </si>
  <si>
    <t>3.13</t>
  </si>
  <si>
    <t>3.14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</si>
  <si>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</si>
  <si>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</si>
  <si>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</si>
  <si>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</si>
  <si>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</si>
  <si>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</si>
  <si>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</si>
  <si>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</si>
  <si>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</si>
  <si>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</si>
  <si>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</si>
  <si>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</si>
  <si>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</si>
  <si>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</si>
  <si>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7.1</t>
  </si>
  <si>
    <t>7.2</t>
  </si>
  <si>
    <t>8.1</t>
  </si>
  <si>
    <t>10.1</t>
  </si>
  <si>
    <t>10.2</t>
  </si>
  <si>
    <t>11.1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</si>
  <si>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</si>
  <si>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</si>
  <si>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</si>
  <si>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</si>
  <si>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</si>
  <si>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</si>
  <si>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</si>
  <si>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</si>
  <si>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</si>
  <si>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12.15</t>
  </si>
  <si>
    <t>12.16</t>
  </si>
  <si>
    <t>12.17</t>
  </si>
  <si>
    <t>12.18</t>
  </si>
  <si>
    <t>12.19</t>
  </si>
  <si>
    <t>13.1</t>
  </si>
  <si>
    <t>13.2</t>
  </si>
  <si>
    <t>13.3</t>
  </si>
  <si>
    <t>13.4</t>
  </si>
  <si>
    <t>13.7</t>
  </si>
  <si>
    <t>14.1</t>
  </si>
  <si>
    <t>UNIDADE</t>
  </si>
  <si>
    <t>PREÇO UNITARIO</t>
  </si>
  <si>
    <t>PREÇO TOTAL</t>
  </si>
  <si>
    <t>ALVENARIAS E DIVISÓRIAS</t>
  </si>
  <si>
    <t>FORRO</t>
  </si>
  <si>
    <t>8.3</t>
  </si>
  <si>
    <t>8.4</t>
  </si>
  <si>
    <t>LOUÇAS E METAIS</t>
  </si>
  <si>
    <t>ELETRODUTO RÍGIDO ROSCÁVEL, PVC, DN 75 MM (2 1/2") - FORNECIMENTO E INSTALAÇÃO. AF_12/2015</t>
  </si>
  <si>
    <t>CPRB (Contribuição Previdenciária sobre a Receita Bruta)</t>
  </si>
  <si>
    <t>73899/002</t>
  </si>
  <si>
    <t>COBERTURA</t>
  </si>
  <si>
    <t>REMOÇÃO DE QUADRO ELÉTRICO</t>
  </si>
  <si>
    <t>H</t>
  </si>
  <si>
    <t>SERVENTE COM ENCARGOS COMPLEMENTARES</t>
  </si>
  <si>
    <t>CAMINHÃO TOCO, PBT 14.300 KG, CARGA ÚTIL MÁX. 9.710 KG, DIST</t>
  </si>
  <si>
    <t>CARPINTEIRO DE FORMAS COM ENCARGOS COMPLEMENTARES</t>
  </si>
  <si>
    <t>PEDREIRO COM ENCARGOS COMPLEMENTARES</t>
  </si>
  <si>
    <t/>
  </si>
  <si>
    <t>P.UNIT</t>
  </si>
  <si>
    <t>P.TOTAL</t>
  </si>
  <si>
    <t>COMPOSICAO</t>
  </si>
  <si>
    <t>total:</t>
  </si>
  <si>
    <t>RETIRADA DE TUBULAÇÃO</t>
  </si>
  <si>
    <t>JARDINEIRO COM ENCARGOS COMPLEMENTARES</t>
  </si>
  <si>
    <t>REMOÇÃO DE FIAÇÃO</t>
  </si>
  <si>
    <t>DEMOLICAO DE ALVENARIA DE TIJOLOS</t>
  </si>
  <si>
    <t>S00016</t>
  </si>
  <si>
    <t>REMOCAO DE TOMADAS OU INTERRUPTORES ELETRICOS</t>
  </si>
  <si>
    <t>2.2</t>
  </si>
  <si>
    <t>COTAÇÃO</t>
  </si>
  <si>
    <t>S01816</t>
  </si>
  <si>
    <t>INSUMO</t>
  </si>
  <si>
    <t xml:space="preserve">TRANSPORTE HORIZONTAL DE MATERIAIS DIVERSOS </t>
  </si>
  <si>
    <t>TRANSPORTE LOCAL COM CAMINHAO BASCULANTE 6 M3, RODOVIA PAVIMENTADA ( PARA DISTANCIAS SUPERIORES A 4 KM )</t>
  </si>
  <si>
    <t>REMOÇÃO DE PLACA DE OBRA</t>
  </si>
  <si>
    <t xml:space="preserve">CARGA MANUAL DE ENTULHO EM CAMINHAO BASCULANTE </t>
  </si>
  <si>
    <t>S07138</t>
  </si>
  <si>
    <t>VIDRO TEMPERADO INCOLOR, ESPESSURA 6MM, FORNECIMENTO E INSTALACAO</t>
  </si>
  <si>
    <t>FIXAÇÃO DE ELETRODUTO</t>
  </si>
  <si>
    <t>DEMOLICAO DE FORRO</t>
  </si>
  <si>
    <t>3.10</t>
  </si>
  <si>
    <t>AUXILIAR DE ELETRICISTA COM ENCARGOS COMPLEMENTARES</t>
  </si>
  <si>
    <t>ELETRICISTA COM ENCARGOS COMPLEMENTARES</t>
  </si>
  <si>
    <t>17.3</t>
  </si>
  <si>
    <t>17.4</t>
  </si>
  <si>
    <t>17.5</t>
  </si>
  <si>
    <t>17.6</t>
  </si>
  <si>
    <t>17.7</t>
  </si>
  <si>
    <t>4.3</t>
  </si>
  <si>
    <t>7.3</t>
  </si>
  <si>
    <t>10.3</t>
  </si>
  <si>
    <t>S09721</t>
  </si>
  <si>
    <t>9.3</t>
  </si>
  <si>
    <t>VISOR EM ALUMÍNIO COM VIDRO LISO 4MM 0,20X1,05M</t>
  </si>
  <si>
    <t>MOBILIZAÇÃO</t>
  </si>
  <si>
    <t>1.1</t>
  </si>
  <si>
    <t>74145/001</t>
  </si>
  <si>
    <t>3.2</t>
  </si>
  <si>
    <t>REMOÇÃO DE BANCADA</t>
  </si>
  <si>
    <t>S03747</t>
  </si>
  <si>
    <t>REMOÇÃO DE PEITORIL</t>
  </si>
  <si>
    <t>S02253</t>
  </si>
  <si>
    <t>74209/001</t>
  </si>
  <si>
    <t xml:space="preserve">PLACA DE OBRA EM CHAPA DE ACO GALVANIZADO </t>
  </si>
  <si>
    <t>REMOCAO DE VIDRO COMUM</t>
  </si>
  <si>
    <t>10.4</t>
  </si>
  <si>
    <t>10.5</t>
  </si>
  <si>
    <t>VÁLVULA HYDRA DUO FLUX  2545 DECA OU SIMILAR - FORNECIMENTO E INSTALAÇÃO</t>
  </si>
  <si>
    <t>9.1</t>
  </si>
  <si>
    <t>9.2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</si>
  <si>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</si>
  <si>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</si>
  <si>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</si>
  <si>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</si>
  <si>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</si>
  <si>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</si>
  <si>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</si>
  <si>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</si>
  <si>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</si>
  <si>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9.15</t>
  </si>
  <si>
    <t>10.6</t>
  </si>
  <si>
    <t>DEMOLIÇÃO DE REVESTIMENTO CERÂMICO</t>
  </si>
  <si>
    <t>S00022</t>
  </si>
  <si>
    <t>12.10</t>
  </si>
  <si>
    <t>12.11</t>
  </si>
  <si>
    <t>12.12</t>
  </si>
  <si>
    <t>12.13</t>
  </si>
  <si>
    <t>12.14</t>
  </si>
  <si>
    <t>TUBO PVC, SERIE NORMAL, ESGOTO PREDIAL, DN 100 MM, FORNECIDO E INSTALADO</t>
  </si>
  <si>
    <t>ENCARREGADO GERAL DE OBRAS COM ENCARGOS COMPLEMENTARES</t>
  </si>
  <si>
    <t>ELETRODUTO LINHA CONDULETE TIGRE OU SIMILAR 3/4" - FORNECIMENTO E INSTALAÇÃO</t>
  </si>
  <si>
    <t>TOMADA LINHA CONDULETE TIGRE OU SIMILIAR 3/4" - FORNECIMENTO E INSTALAÇÃO</t>
  </si>
  <si>
    <t>CABEAMENTO ESTRUTURADO</t>
  </si>
  <si>
    <t>INEL</t>
  </si>
  <si>
    <t>91873</t>
  </si>
  <si>
    <t>ELETRODUTO LINHA CONDULETE TOP TIGRE OU SIMILAR DN 25MM (3/4") - FORNECIMENTO E INSTALAÇÃO</t>
  </si>
  <si>
    <t>88247</t>
  </si>
  <si>
    <t>88264</t>
  </si>
  <si>
    <t>LOJAELETRICA</t>
  </si>
  <si>
    <t>ABRAÇADEIRA LINHA CONDULETE TOP TIGRE OU SIMILAR 3/4"</t>
  </si>
  <si>
    <t>BUCHA NYLON S-6 C/ PARAFUSO ACO ZINC CAB CHATA ROSCA SOBERBA 4,2 X 45MM</t>
  </si>
  <si>
    <t>ELETRODUTO CONDULETE TOP TIGRE OU SIMILAR 3/4"</t>
  </si>
  <si>
    <t>ELETRODUTO LINHA CONDULETE TIGRE OU SIMILAR 1" - FORNECIMENTO E INSTALAÇÃO</t>
  </si>
  <si>
    <t>ELETRODUTO CONDULETE TOP TIGRE OU SIMILAR 1"</t>
  </si>
  <si>
    <t>ELETRICACAPITAL</t>
  </si>
  <si>
    <t>CONDULETE 5 ENTRADAS UNIVERSAL TIGRE</t>
  </si>
  <si>
    <t>ADAPTADOR CONDULETE TOP TIGRE OU SIMILAR</t>
  </si>
  <si>
    <t>TAMPA CONDULETE TOP DUPLA TIGRE OU SIMILAR</t>
  </si>
  <si>
    <t>ELETRODUTO LINHA CONDULETE TOP TIGRE OU SIMILAR DN 32MM (1") - FORNECIMENTO E INSTALAÇÃO</t>
  </si>
  <si>
    <t>ABRAÇADEIRA LINHA CONDULETE TOP TIGRE OU SIMILAR 1"</t>
  </si>
  <si>
    <t>TOMADA 2P+T DUPLA 20A LINHA CONDULETE TOP TIGRE OU SIMILAR - FORNECIMENTO E INSTALAÇÃO</t>
  </si>
  <si>
    <t>MODULO DE TOMADA 2P+T 20A</t>
  </si>
  <si>
    <t>TOMADA DUPLA PARA LÓGICA LINHA CONDULETE TOP TIGRE OU SIMILAR - FORNECIMENTO E INSTALAÇÃO</t>
  </si>
  <si>
    <t>TAMPA CONDULETE TOP DUPLA RJ 45 TIGRE OU SIMILAR</t>
  </si>
  <si>
    <t>S06635</t>
  </si>
  <si>
    <t>6.6</t>
  </si>
  <si>
    <t>AUXILIAR DE ENCANADOR OU BOMBEIRO HIDRÁULICO COM ENCARGOS COMPLEMENTARES</t>
  </si>
  <si>
    <t>ENCANADOR OU BOMBEIRO HIDRÁULICO COM ENCARGOS COMPLEMENTARES</t>
  </si>
  <si>
    <t>8.2</t>
  </si>
  <si>
    <t>9.4</t>
  </si>
  <si>
    <t>12.20</t>
  </si>
  <si>
    <t>13.5</t>
  </si>
  <si>
    <t>13.6</t>
  </si>
  <si>
    <t>S08235 MOD</t>
  </si>
  <si>
    <t>10.7</t>
  </si>
  <si>
    <t>10.8</t>
  </si>
  <si>
    <t>10.9</t>
  </si>
  <si>
    <t>10.10</t>
  </si>
  <si>
    <t>10.11</t>
  </si>
  <si>
    <t>TELHAMENTO COM TELHA CERÂMICA DE ENCAIXE, TIPO FRANCESA</t>
  </si>
  <si>
    <t>PROTETOR DE IMPACTO EM AÇO INOXIDAVEL AISI 304 90X40CM</t>
  </si>
  <si>
    <t>BARRA DE APOIO EM AÇO INOX L=70CM #1 1/2</t>
  </si>
  <si>
    <t>TORNEIRA COM ALAVANCA PARA LAVATÓRIO DE MESA DECAMATIC 1173.C.CONF CONFORTO COM FECHAMENTO AUTOMÁTICO CROMADO DECA OU SIMILAR</t>
  </si>
  <si>
    <t>BARRA DE APOIO EM AÇO INOX L=80CM, #=1 1/2</t>
  </si>
  <si>
    <t>BARRA DE APOIO EM AÇO INOX L=70CM, #=1 1/2</t>
  </si>
  <si>
    <t xml:space="preserve">ALARME AUDIOVISUAL SEM FIO BIVOLT 110/220V PARA SANITÁRIO ACESSÍVEL, INCL PLACA TÁTIL EM ALTO RELEVO E BRAILLE ESCRITO: "EMERGÊNCIA: ACIONAR O BOTÃO" </t>
  </si>
  <si>
    <t>CHAPA ACO INOX AISI 304 NUMERO 4 (E = 6 MM), ACABAMENTO NUMERO 1</t>
  </si>
  <si>
    <t>BARRA DE APOIO RETA, EM ACO INOX POLIDO, COMPRIMENTO 70CM, DIAMETRO MINIMO 3</t>
  </si>
  <si>
    <t>FITA VEDA ROSCA 18MM</t>
  </si>
  <si>
    <t>CJ</t>
  </si>
  <si>
    <t>S00981</t>
  </si>
  <si>
    <t>TORNEIRA ELETRONICA</t>
  </si>
  <si>
    <t>I12228</t>
  </si>
  <si>
    <t>BARRA DE APOIO RETA, EM ACO INOX POLIDO, COMPRIMENTO 80CM, DIAMETRO MINIMO 3</t>
  </si>
  <si>
    <t>FIXAÇÃO PARA VASO SANITÁRIO,DECA SP13 OU SIMILAR</t>
  </si>
  <si>
    <t>VASO SANITÁRIO CONVENCIONAL PARA DEFICIENTES FÍSICOS, LINHA CONFORTO VOGUE PLUS P51, DECA OU SIMILAR</t>
  </si>
  <si>
    <t>VEDAÇÃO PVC, 100MM, PARA SAIDA VASO SANITARIO</t>
  </si>
  <si>
    <t>ENGATE/RABICHO FLEXIVEL PLASTICO(PVC OU ABS) BRANCO 1/2"X30CM</t>
  </si>
  <si>
    <t>CONJUNTO DE LIGAÇÃO (TUBO + CANOPLA) PVC RIGIDO C/TUBO 1.1/2"X20CM P/BACIA SANITARIA</t>
  </si>
  <si>
    <t>I00669</t>
  </si>
  <si>
    <t>I02885</t>
  </si>
  <si>
    <t>SERRALHEIRO COM ENCARGOS COMPLEMENTARES</t>
  </si>
  <si>
    <t>12.21</t>
  </si>
  <si>
    <t>BACIA CONVENCIONAL COM ASSENTO, SEM ABERTURA FRONTAL, VOGUE PLUS CONFORTO P.510.17 (H=44CM) OU SIMILAR</t>
  </si>
  <si>
    <t>BARRA DE APROXIMAÇÃO EM AÇO INOX RETA L=40CM, 1 1/2</t>
  </si>
  <si>
    <t>BARRA DE APOIO EM AÇO INOX L=60CM, #=1 1/2</t>
  </si>
  <si>
    <t>BARRA DE APOIO RETA, EM ACO INOX POLIDO, COMPRIMENTO 60CM, DIAMETRO MINIMO 3CM</t>
  </si>
  <si>
    <t>Campus da Federação Universidade Federal da Bahia, Salvador - Bahia</t>
  </si>
  <si>
    <t>Construção da Coordenadoria de Tecnologias Educacionais da SEAD</t>
  </si>
  <si>
    <t>REMOÇÃO DE ARMÁRIOS</t>
  </si>
  <si>
    <t>TRANSPORTE COM CAMINHÃO BASCULANTE 6 M3 EM RODOVIA PAVIMENTADA</t>
  </si>
  <si>
    <t>DEMOLIÇÃO DE PISO CERÂMICO</t>
  </si>
  <si>
    <t>S00018</t>
  </si>
  <si>
    <t>ENGENHEIRO CIVIL DE OBRA COM ENCARGOS COMPLEMENTARES (MEIO PERÍODO - 4 HORAS POR DIA)</t>
  </si>
  <si>
    <t>RETIRADA DE VENTILADOR</t>
  </si>
  <si>
    <t>QUANTITATIVOS</t>
  </si>
  <si>
    <t>PISO</t>
  </si>
  <si>
    <t>RODAPÉ</t>
  </si>
  <si>
    <t>TETO</t>
  </si>
  <si>
    <t>PAREDE</t>
  </si>
  <si>
    <t>TÉRREO</t>
  </si>
  <si>
    <t>ÁREA</t>
  </si>
  <si>
    <t>PERIMÉTRO</t>
  </si>
  <si>
    <t>GRANITO CINZA CORUMBÁ</t>
  </si>
  <si>
    <t>P1</t>
  </si>
  <si>
    <t>COMPRIMENTO</t>
  </si>
  <si>
    <t>TOTAL DRY WALL</t>
  </si>
  <si>
    <t>TOTAL DIV. BANHEIRO</t>
  </si>
  <si>
    <t>SOMATÓRIO DAS ÁREAS DE TIPO DE PISO:</t>
  </si>
  <si>
    <t>TOTAL ALVENARIA</t>
  </si>
  <si>
    <t>TOTAL LAVATÓRIO:</t>
  </si>
  <si>
    <t>TOTAL LAVATÓRIO PNE:</t>
  </si>
  <si>
    <t>BACIA SANITÁRIA:</t>
  </si>
  <si>
    <t>BACIA SANITÁRIA PNE:</t>
  </si>
  <si>
    <t>PIA:</t>
  </si>
  <si>
    <t>MICTÓRIO:</t>
  </si>
  <si>
    <t>TANQUE:</t>
  </si>
  <si>
    <t>CHUVEIRO:</t>
  </si>
  <si>
    <t>ESTUDIO</t>
  </si>
  <si>
    <t>COORDENAÇÃO</t>
  </si>
  <si>
    <t>ANTECÂMARA</t>
  </si>
  <si>
    <t>SANITÁRIO</t>
  </si>
  <si>
    <t>RECEPÇÃO</t>
  </si>
  <si>
    <t>EDIÇÃO</t>
  </si>
  <si>
    <t>DESIGN MULTIMÍDIA/EDITORAÇÃO</t>
  </si>
  <si>
    <t>VESTIARIO</t>
  </si>
  <si>
    <t>PORCELANATO PALHA 60 X 60 CM</t>
  </si>
  <si>
    <t>FORRO EM PLACA DE GESSO</t>
  </si>
  <si>
    <t>TINTA ACRÍLICA/EPÓXI BASE ÁGUA</t>
  </si>
  <si>
    <t>CERAMICA ESMALT. 30 40</t>
  </si>
  <si>
    <t>TINTA ACRÍLICA BRANCO GELO</t>
  </si>
  <si>
    <t>RETIRADA DE ESQUADRIAS</t>
  </si>
  <si>
    <t>FORNECIMENTO E INSTALAÇÃO DE ESQUADRIAS</t>
  </si>
  <si>
    <t>QUANT</t>
  </si>
  <si>
    <t>VERGA (M)</t>
  </si>
  <si>
    <t>SOLEIRA(M)</t>
  </si>
  <si>
    <t>P1-V</t>
  </si>
  <si>
    <t>P2</t>
  </si>
  <si>
    <t>P3</t>
  </si>
  <si>
    <t>P4</t>
  </si>
  <si>
    <t>P5-F</t>
  </si>
  <si>
    <t>P6</t>
  </si>
  <si>
    <t>P7</t>
  </si>
  <si>
    <t>CONTRA VERGA (M)</t>
  </si>
  <si>
    <t>ABERTURA DE VÃO DE JANELA EXTERNA (M3)</t>
  </si>
  <si>
    <t>J1</t>
  </si>
  <si>
    <t>J2</t>
  </si>
  <si>
    <t>VT-1</t>
  </si>
  <si>
    <t>PEITORIL</t>
  </si>
  <si>
    <t xml:space="preserve">93194 </t>
  </si>
  <si>
    <t>CONTRAVERGA PRÉ-MOLDADA PARA VÃOS DE ATÉ 1,5 M DE COMPRIMENTO. AF_03/2016</t>
  </si>
  <si>
    <t>REGULARIZAÇÃO DE PISO</t>
  </si>
  <si>
    <t>LOUÇAS, METAIS E DIVERSOS</t>
  </si>
  <si>
    <t>ESPEÇHO TIPO CRISTAL 4MM
 (60X80), FIXADOS SOBRE 
COMPENSADO NAVAL E
 GUARDENECIDO COM
 MOLDURA DE ALUMÍNIO.</t>
  </si>
  <si>
    <t>PORTA
 PAPEL
 TOLHA</t>
  </si>
  <si>
    <t>SABONETEIRA
LÍQUIDA</t>
  </si>
  <si>
    <t>PORTA
PAPEL
HIGIÊNICO
EM ROLO</t>
  </si>
  <si>
    <t>LAVATÓRIO DE PAREDE
MONTE CARLO - fab. DECA</t>
  </si>
  <si>
    <t>BACIA SANITÁRIA
 COM CAIXA ACOPLADA
BACIA VOGUE PLUS - LINHA CONFORTO - BRA - fab. DECA.</t>
  </si>
  <si>
    <t>TORNEIRA TEMPORIZADORA
DECAMATIC ECO MESA – CR, fab. DECA.</t>
  </si>
  <si>
    <t>REGISTRO DE GAVETA COM CANOPLA
Registro de gaveta com acabamento TARGA, Cód. 1509 , Fab. DECA</t>
  </si>
  <si>
    <t>LIGAÇÃO DE 
BACIA SANITÁRIA
Tubo de ligação c/ anel expansor para bacia, fab. DECA</t>
  </si>
  <si>
    <t xml:space="preserve">LIGAÇÃO DE LAVATÓRIO
Ligação flexível, fab. DECA.
</t>
  </si>
  <si>
    <t>SIFÃO P/ LAVATÓRIO EM AÇO INOX
DN25 x DN40 (1 x 1 1/2), fab. DECA</t>
  </si>
  <si>
    <t>PLACAS DE PVC (M2)</t>
  </si>
  <si>
    <t>S</t>
  </si>
  <si>
    <t>REVESTIMENTO</t>
  </si>
  <si>
    <t xml:space="preserve">CHAPISCO </t>
  </si>
  <si>
    <t>MASSA ÚNICA</t>
  </si>
  <si>
    <t>QUANT. (M2)</t>
  </si>
  <si>
    <t>REMOÇÃO BANCADA</t>
  </si>
  <si>
    <t xml:space="preserve">BARRA DE APOIO </t>
  </si>
  <si>
    <t>DEMOLIÇÃO</t>
  </si>
  <si>
    <t>AREA</t>
  </si>
  <si>
    <t>ESQUADRIA</t>
  </si>
  <si>
    <t>ALVENARIA</t>
  </si>
  <si>
    <t>BANCADA</t>
  </si>
  <si>
    <t>RETIRADA DE LOUÇAS</t>
  </si>
  <si>
    <t>RETIRADA DE VASOS SANITARIOS</t>
  </si>
  <si>
    <t>EDIÇÃO/DESIGN MULTIMIDIA</t>
  </si>
  <si>
    <t>ALTURA</t>
  </si>
  <si>
    <t xml:space="preserve">ESPESSURA  </t>
  </si>
  <si>
    <t>RECEPÇÃO/VESTIÁRIO/ESTÚDIO</t>
  </si>
  <si>
    <t>SANITÁRIO/COORDENAÇÃO</t>
  </si>
  <si>
    <t>RETIRADA DE METAIS SANITÁRIOS (CHUVEIROS, TORNEIRAS, ETC.)</t>
  </si>
  <si>
    <t>3.6</t>
  </si>
  <si>
    <t>DEMOLICAO DE ALVENARIA DE TIJOLOS (SOB O ARMÁRIO)</t>
  </si>
  <si>
    <t>3.7</t>
  </si>
  <si>
    <t>3.8</t>
  </si>
  <si>
    <t>3.9</t>
  </si>
  <si>
    <t>3.11</t>
  </si>
  <si>
    <t>3.12</t>
  </si>
  <si>
    <t>3.15</t>
  </si>
  <si>
    <t>S03250</t>
  </si>
  <si>
    <t>TRANSPORTE HORIZONTAL</t>
  </si>
  <si>
    <t>4.1</t>
  </si>
  <si>
    <t>4.2</t>
  </si>
  <si>
    <t>ALVENARIA DE VEDAÇÃO DE BLOCOS CERÂMICOS FURADOS NA VERTICAL DE 9X19X39CM (ESPESSURA 9CM)</t>
  </si>
  <si>
    <t>ALVENARIA A CONSTRUIR</t>
  </si>
  <si>
    <t>COMPRIMENTO HORIZONTAL</t>
  </si>
  <si>
    <t>COMPRIMENTO VERTICAL</t>
  </si>
  <si>
    <t>SUBTOTAL:</t>
  </si>
  <si>
    <t>PÉ-DIREITO:</t>
  </si>
  <si>
    <t>ÁREA:</t>
  </si>
  <si>
    <t>ABATIMENTOS DAS ESQUADRIAS:</t>
  </si>
  <si>
    <t>ÁREA DE ALVENARIA A CONSTRUIR:</t>
  </si>
  <si>
    <t>FECHAMENTO DE VÃOS COM ALVENARIA DUPLA:</t>
  </si>
  <si>
    <t>S10378</t>
  </si>
  <si>
    <t>PISO EM MANTA VINÍLICA ACÚSTICA CONFORME ESPECIFICAÇÃO (PI.01)</t>
  </si>
  <si>
    <t>PISO EM MANTA VINÍLICA ACÚSTICA CONFORME ESPECIFICAÇÃO (PI.02)</t>
  </si>
  <si>
    <t>CONTRAPISO EM ARGAMASSA TRAÇO 1:4 (CIMENTO E AREIA), PREPARO MANUAL, APLICADO EM ÁREAS MOLHADAS SOBRE LAJE, ADERIDO, ESPESSURA 2CM.</t>
  </si>
  <si>
    <t>PISO EM CONCRETO 20MPA PREPARO MECANICO, ESPESSURA 7 CM, COM ARMACAO EM TELA SOLDADA (RAMPA)</t>
  </si>
  <si>
    <t>CONCRETO FCK = 15MPA, TRAÇO 1:3,4:3,5 (CIMENTO/ AREIA MÉDIA/ BRITA 1) - RAMPA</t>
  </si>
  <si>
    <t>REVESTIMENTO CERÂMICO PARA PISO COM PLACAS TIPO PORCELANATO DE DIMENSÕES 60X60 CM</t>
  </si>
  <si>
    <t>PINTURA EPOXI CONFORME ESPECIFICAÇÃO INCLUSO EMASSAMENTO E FUNDO PREPARADOR</t>
  </si>
  <si>
    <t>APLICAÇÃO DE FUNDO SELADOR ACRÍLICO EM PAREDES, UMA DEMÃO.</t>
  </si>
  <si>
    <t>APLICAÇÃO MANUAL DE PINTURA COM TINTA LÁTEX ACRÍLICA EM PAREDES, DUAS DEMÃOS</t>
  </si>
  <si>
    <t>S08624</t>
  </si>
  <si>
    <t>REVESTIMENTO CERÂMICO 30X40CM CONFORME ESPECIFICAÇÃO</t>
  </si>
  <si>
    <t>CHAPISCO APLICADO EM ALVENARIAS E ESTRUTURAS DE CONCRETO INTERNAS, COM COLHER DE PEDREIRO. ARGAMASSA TRAÇO 1:3 COM PREPARO MANUAL.</t>
  </si>
  <si>
    <t>EMBOÇO, PARA RECEBIMENTO DE CERÂMICA, EM ARGAMASSA TRAÇO 1:2:8, PREPARO MANUAL</t>
  </si>
  <si>
    <t>FORRO SISTEMA DRYWALL CONFORME ESPECIFICAÇÃO (FI.01)</t>
  </si>
  <si>
    <t>MANTA EM LÃ DE PET</t>
  </si>
  <si>
    <t>ARTESANA</t>
  </si>
  <si>
    <t>AJUDANTE DE CARPINTEIRO COM ENCARGOS COMPLEMENTARES</t>
  </si>
  <si>
    <t>CARPINTEIRO DE ESQUADRIA COM ENCARGOS COMPLEMENTARES</t>
  </si>
  <si>
    <t>ISOLAMENTO ACUSTICO COM CHAPA DE GESSO ACARTONADO  12,5MM E PAINEL EM LÃ DE PET CONFORME ESPECIFICAÇÃO</t>
  </si>
  <si>
    <t>REVESTIMENTO DE PAREDE COM PLACA DE GESSO ACARTONADO</t>
  </si>
  <si>
    <t>S10091</t>
  </si>
  <si>
    <t>MANTA DE ALTA DENSIDADE ALBICON SOUNDSOFT OU SIMILAR</t>
  </si>
  <si>
    <t>FITA DE FELTRO AUTOADESIVA 50MMX5MM</t>
  </si>
  <si>
    <t>FITA DE BORRACHA AUTOADESIVA 10X10MM</t>
  </si>
  <si>
    <t>6.7</t>
  </si>
  <si>
    <t>6.8</t>
  </si>
  <si>
    <t>S09595</t>
  </si>
  <si>
    <t>2.3</t>
  </si>
  <si>
    <t>LOCACAO DE CONTAINER 2,30 X 6,00 M, ALT. 2,50 M</t>
  </si>
  <si>
    <t>PORTAS</t>
  </si>
  <si>
    <t>PORTA EM MADEIRA SEMI-OCA 0,90X2,10M (P1)</t>
  </si>
  <si>
    <t>PORTA EM MADEIRA SEMI-OCA 0,90X2,10M (P1-V)</t>
  </si>
  <si>
    <t>PORTA EM MADEIRA ACÚSTICA 1,30X2,10M CONFORME ESPECIFICAÇÃO (P2)</t>
  </si>
  <si>
    <t>PORTA EM MADEIRA SEMI-OCA 1,30X2,10M (P3)</t>
  </si>
  <si>
    <t>PORTA EM ALUMÍNIO VENEZIANA INCLUSIVE FERRAGENS 1,30X2,10M (P4)</t>
  </si>
  <si>
    <t>PORTÃO EM GRADE DE FERRO CONFORME PROJETO 1,50X2,20M (P5-F)</t>
  </si>
  <si>
    <t>PORTA EM MADEIRA ACÚSTICA 0,90X2,10M CONFORME ESPECIFICAÇÃO (P7)</t>
  </si>
  <si>
    <t>JANELAS</t>
  </si>
  <si>
    <t>S08964</t>
  </si>
  <si>
    <t>JANELA TIPO GUILHOTINA EM ALUMÍNIO LINHA GOLD OU SIMILAR- FORNECIMENTO E INSTALAÇÃO 1,00X1,70M (J1)</t>
  </si>
  <si>
    <t>JANELA TIPO MAXIM-AIR EM ALUMÍNIO LINHA GOLD OU SIMILAR- FORNECIMENTO E INSTALAÇÃO 0,50X1,00M (J2)</t>
  </si>
  <si>
    <t>ELEMENTOS DE FECHAMENTO</t>
  </si>
  <si>
    <t>GRELHA EM ALUMÍNIO 325X525MM (A-1)</t>
  </si>
  <si>
    <t>FECHAMENTO EM ALUMÍNIO TIPO VENEZIANA 1,30X0,44M (A-2)</t>
  </si>
  <si>
    <t>GRADIL EM TUBO DE AÇO GALVANIZADO 1,00X1,90M (G1)</t>
  </si>
  <si>
    <t>GRADIL EM TUBO DE AÇO GALVANIZADO 0,70X1,20M (G2)</t>
  </si>
  <si>
    <t>S12655</t>
  </si>
  <si>
    <t>PORTA EM MADEIRA SEMI-OCA DE CORRER 1,30X2,10M (P6)</t>
  </si>
  <si>
    <t>S04723</t>
  </si>
  <si>
    <t>S10891</t>
  </si>
  <si>
    <t>8.5</t>
  </si>
  <si>
    <t>PINTURA ESMALTE FOSCO, DUAS DEMAOS, SOBRE SUPERFICIE METALICA, INCLUSO UMA DEMAO DE FUNDO ANTICORROSIVO (PORTÕES E GRADIS).</t>
  </si>
  <si>
    <t>I02062</t>
  </si>
  <si>
    <t>TORNEIRAELETRONICA</t>
  </si>
  <si>
    <t xml:space="preserve">LIXEIRA CÁPSULA (20,3 X 20,3 X 65 CM) SEM TAMPA INOX 20 LITROS TRAMONTINA OU SIMILAR </t>
  </si>
  <si>
    <t>SABONETEIRA EM PLÁSTICO ABS, PARA SABONETE LÍQUIDO, DA JSN, REF. J7 OU SIMILAR</t>
  </si>
  <si>
    <t>PORTA PAPEL HIGIENICO EM ABS - FORNECIMENTO E INSTALAÇÃO</t>
  </si>
  <si>
    <t>PORTA-PAPEL TOALHA EM PLÁSTICO ABS COM ACRÍLICO, DA JSN, REF. N7 OU SIMILAR</t>
  </si>
  <si>
    <t>74125/002</t>
  </si>
  <si>
    <t>ESPELHO CRISTAL ESPESSURA 4MM, COM MOLDURA EM ALUMINIO E COMPENSADO 6MM PLASTIFICADO COLADO (0,40X0,90M)</t>
  </si>
  <si>
    <t>S08790</t>
  </si>
  <si>
    <t>CHAPA DUPLA DE GESSO ACARTONADO</t>
  </si>
  <si>
    <t>S09083</t>
  </si>
  <si>
    <t>FORRO SONEX OU SIMILAR</t>
  </si>
  <si>
    <t>S07759</t>
  </si>
  <si>
    <t>S07609</t>
  </si>
  <si>
    <t>S07610</t>
  </si>
  <si>
    <t>MADEIRAMADEIRA.COM.BR</t>
  </si>
  <si>
    <t>S03708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</si>
  <si>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</si>
  <si>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</si>
  <si>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</si>
  <si>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</si>
  <si>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</si>
  <si>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</si>
  <si>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</si>
  <si>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</si>
  <si>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</si>
  <si>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</si>
  <si>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TOTALACESSIBILIDADE</t>
  </si>
  <si>
    <t>REVISÃO DE PONTO DE ÁGUA</t>
  </si>
  <si>
    <t>S01201</t>
  </si>
  <si>
    <t>REVISÃO DE PONTO DE ESGOTO</t>
  </si>
  <si>
    <t>CAIXA DE INSPEÇÃO 80X80X80CM EM ALVENARIA</t>
  </si>
  <si>
    <t>INSTALAÇÕES HIDROSSANITÁRIAS</t>
  </si>
  <si>
    <t>CAIXA SIFONADA, PVC, DN 150 X 185 X 75 MM, FORNECIDA E INSTALADA</t>
  </si>
  <si>
    <t>REMOÇÃO DE DIVISÓRIA DE GRANITO</t>
  </si>
  <si>
    <t>RETIRA DE AR CONDICIONADO</t>
  </si>
  <si>
    <t>3.4</t>
  </si>
  <si>
    <t>3.16</t>
  </si>
  <si>
    <t>3.17</t>
  </si>
  <si>
    <t>3.18</t>
  </si>
  <si>
    <t>3.19</t>
  </si>
  <si>
    <t>3.20</t>
  </si>
  <si>
    <t>3.21</t>
  </si>
  <si>
    <t>3.22</t>
  </si>
  <si>
    <t>3.23</t>
  </si>
  <si>
    <t>S07224</t>
  </si>
  <si>
    <t>3.24</t>
  </si>
  <si>
    <t>S09634</t>
  </si>
  <si>
    <t>LUMINÁRIA DE SOBREPOR PARA LÂMPADA FLUORESCENTE  TUBULAR 2X65W, INCLUSIVE REATOR ELETRÔNICO 2X58W E LÂMPADA FLUORESCENTE TUBULAR COMUM DE 58W</t>
  </si>
  <si>
    <t>07327/ORSE</t>
  </si>
  <si>
    <t>LUMINÁRIA DE EMBUTIR COM ALETAS, PARA LÂMPADA FLUORESCENTE, 2 X 32W, REF. TBS020232CI00, DA PHILIPS, EXCLUSIVE REATOR E LÂMPADA</t>
  </si>
  <si>
    <t>FG.COM.BR</t>
  </si>
  <si>
    <t>REATOR ELETRÔNICO AFP 2X65/58W 220V EB2-58A26 - PHILIPS</t>
  </si>
  <si>
    <t>VLPCOMERCIAL</t>
  </si>
  <si>
    <t>LÂMPADA FLUORESCENTE PHILIPS 58W TLD T8 4000K (NEUTRA)</t>
  </si>
  <si>
    <t>PROJETOR PARA LÂMPADA HALÓGENA DE 500W, INCLUSIVE REATOR, LÂMPADA E SOQUETE</t>
  </si>
  <si>
    <t>00612/ORSE</t>
  </si>
  <si>
    <t>PROJETOR PARA LÂMPADA HALÓGENA DE 500W, INCLUSIVE REATOR,LÂMPADA E SOQUETE</t>
  </si>
  <si>
    <t>LÂMPADA HALÓGENA PALITO 500W 220V R7S</t>
  </si>
  <si>
    <t>MAKOSTORE</t>
  </si>
  <si>
    <t>PROJETOR QUARTZ LIGHT 300/600 COM LÂMPADA DE 650 W</t>
  </si>
  <si>
    <t>SOQUETE BASE G13 MPARA LÂMPADA FLUORESCENTE</t>
  </si>
  <si>
    <t xml:space="preserve"> ELETRODUTO RÍGIDO ROSCÁVEL, PVC, DN 50 MM (1 1/2") - FORNECIMENTO E INSTALAÇÃO. AF_12/2015 </t>
  </si>
  <si>
    <t xml:space="preserve"> ELETRODUTO RÍGIDO ROSCÁVEL, PVC, DN 40 MM (1 1/4"), PARA CIRCUITOS TER MINAIS, INSTALADO EM FORRO - FORNECIMENTO E INSTALAÇÃO. AF_12/2015</t>
  </si>
  <si>
    <t xml:space="preserve"> CAIXA OCTOGONAL 3" X 3", PVC, INSTALADA EM LAJE - FORNECIMENTO E INSTALAÇÃO. AF_12/2015</t>
  </si>
  <si>
    <t>CONDULETE DE PVC, TIPO E, PARA ELETRODUTO DE PVC SOLDÁVEL DN 3/ 4'', APARENTE - FORNECIMENTO E INSTALAÇÃO</t>
  </si>
  <si>
    <t xml:space="preserve"> CONDULETE DE PVC, TIPO E, PARA ELETRODUTO DE PVC SOLDÁVEL DN 3/ 4'', APARENTE - FORNECIMENTO E INSTALAÇÃO</t>
  </si>
  <si>
    <t>CONDULETE EM PVC TIPO "E", SEM TAMPA, DE 3/4"</t>
  </si>
  <si>
    <t>BUCHA DE NYLON SEM ABA S6, COM PARAFUSO DE 4,20 X 40 MM EM ACO ZINCADO COM ROSCA SOBERBA, CABECA CHATA E FENDA PHILLIPS</t>
  </si>
  <si>
    <t>LUVA PARA ELETRODUTO, PVC, ROSCÁVEL, DN 25 MM (3/4"), PARA CIRCUITOS TERMINAIS, INSTALADA EM FORRO - FORNECIMENTO E INSTALAÇÃO. AF_12/2015</t>
  </si>
  <si>
    <t>LUVA PARA ELETRODUTO, PVC, ROSCÁVEL, DN 32 MM (1"), PARA CIRCUITOS TER MINAIS, INSTALADA EM FORRO - FORNECIMENTO E INSTALAÇÃO. AF_12/2015</t>
  </si>
  <si>
    <t xml:space="preserve"> LUVA PARA ELETRODUTO, PVC, ROSCÁVEL, DN 50 MM (1 1/2") - FORNECIMENTO  E INSTALAÇÃO. AF_12/2015</t>
  </si>
  <si>
    <t xml:space="preserve"> DISJUNTOR MONOPOLAR TIPO DIN, CORRENTE NOMINAL DE 25A - FORNECIMENTO E INSTALAÇÃO. AF_04/2016</t>
  </si>
  <si>
    <t>TRELIÇA AÇO  REF. TRUSST ST25 C/ FLANGE TUBOS 1 1/2" X 3/32" LIGA ESTRUTURAL 6082-T6</t>
  </si>
  <si>
    <t>10909/ORSE</t>
  </si>
  <si>
    <t>TAMPA PARA CONDULETE EM PVC, COM TOMADA HEXAGONAL</t>
  </si>
  <si>
    <t>TAMPA PVC CINZA ESCURO 2 TOMADAS HORIZONTAL CONDULETE TOP 36005912 TIGRE</t>
  </si>
  <si>
    <t>TAMPA PVC PARA CONDULETE 3/4" - 2 FUNÇÕES - HEXAGONAL - FORNECIMENTO E INSTALAÇÃO</t>
  </si>
  <si>
    <t>TAMPA PVC PARA CONDULETE 3/4" - 1 FUNÇÃO - HEXAGONAL- FORNECIMENTO E INSTALAÇÃO</t>
  </si>
  <si>
    <t>TAMPA PVC PARA CONDULETE 3/4" - 2 FUNÇÕES - HEXAGONAL- FORNECIMENTO E INSTALAÇÃO</t>
  </si>
  <si>
    <t>AURATEC</t>
  </si>
  <si>
    <t>KIT PROMOCIONAL BOX TRUSS PARA DJS #04 BASE QUADRADA</t>
  </si>
  <si>
    <t xml:space="preserve">MONTADOR DE ESTRUTURA METÁLICA COM ENCARGOS COMPLEMENTARES </t>
  </si>
  <si>
    <t xml:space="preserve">AJUDANTE DE ESTRUTURA METÁLICA COM ENCARGOS COMPLEMENTARES </t>
  </si>
  <si>
    <t>QUADRO DISTRIB. CHAPA PINTADA - SOBREPOR, BARR. TRIF., DISJ. GERAL, - DIN (REF. MORATORI) CAP. 50 DISJ. UNIP. - IN BARR. 225 A</t>
  </si>
  <si>
    <t>QUADRO GERAL DE DISTRIBUIÇÃO DE EMBUTIR, COM BARRAMENTO, EM CHAPA GALVANIZ., MEDINDO:1140X2470X200CM, EXCLUSIVE DISJUNTORES</t>
  </si>
  <si>
    <t>12.22</t>
  </si>
  <si>
    <t>12.23</t>
  </si>
  <si>
    <t>12.24</t>
  </si>
  <si>
    <t>12.25</t>
  </si>
  <si>
    <t>CONDICIONADOR DE AR SPLIT SYSTEM PISO TETO 36.000 BTU/h (3,0TR)</t>
  </si>
  <si>
    <t>TUBULAÇÃO EM PVC DE 32MM INCL CONEXÕES- DRENO</t>
  </si>
  <si>
    <t>RASGO DE PISO PARA TUBULAÇÃO</t>
  </si>
  <si>
    <t>RASGO DE PAREDE PARA TUBULAÇÃO</t>
  </si>
  <si>
    <t>STRAR</t>
  </si>
  <si>
    <t>INSTALAÇÃO DE AR CONDICIONADO TIPO SPLIT</t>
  </si>
  <si>
    <t>S04465</t>
  </si>
  <si>
    <t>INSTALAÇÃO DE AR CONDICIONADO TIPO PISO-TETO</t>
  </si>
  <si>
    <t>S04474</t>
  </si>
  <si>
    <t>LIXA D'AGUA EM FOLHA, GRAO 100</t>
  </si>
  <si>
    <t>UN</t>
  </si>
  <si>
    <t>AUXILIAR DE ENCANADOR OU BOMBEIRO HIDRÁULICO COM ENCARGOS COMPLEMENTAR</t>
  </si>
  <si>
    <t>TUBO, PVC, SOLDÁVEL, DN 32MM, INSTALADO EM DRENO DE AR-CONDICIONADO -FORNECIMENTO E INSTALAÇÃO. AF_12/2014</t>
  </si>
  <si>
    <t>TUBO PVC, SOLDAVEL, DN 32 MM, AGUA FRIA (NBR-5648)</t>
  </si>
  <si>
    <t xml:space="preserve">CARPINTEIRO DE ESQUADRIA COM ENCARGOS COMPLEMENTARES </t>
  </si>
  <si>
    <t>4.4</t>
  </si>
  <si>
    <t>4.5</t>
  </si>
  <si>
    <t>9.14</t>
  </si>
  <si>
    <t>9.16</t>
  </si>
  <si>
    <t>9.17</t>
  </si>
  <si>
    <t>11.2</t>
  </si>
  <si>
    <t>11.3</t>
  </si>
  <si>
    <t>11.4</t>
  </si>
  <si>
    <t>11.5</t>
  </si>
  <si>
    <t>13.8</t>
  </si>
  <si>
    <t>13.9</t>
  </si>
  <si>
    <t>13.10</t>
  </si>
  <si>
    <t>15.1</t>
  </si>
  <si>
    <t>15.2</t>
  </si>
  <si>
    <t>15.3</t>
  </si>
  <si>
    <t>15.4</t>
  </si>
  <si>
    <t>15.7</t>
  </si>
  <si>
    <t>16.1</t>
  </si>
  <si>
    <t xml:space="preserve">CAMINHÃO TOCO, PBT 14.300 KG, CARGA ÚTIL MÁX. 9.710 KG, DIST. ENTRE EXOS 3,56 M, POTÊNCIA 185 CV, INCLUSIVE CARROCERIA FIXA ABERTA DE MADEIRA P/ TRANSPORTE GERAL DE CARGA SECA, DIMEN. APROX. 2,50 X 6,50 X 0,50 M - CHP DIURNO. AF_06/2014  </t>
  </si>
  <si>
    <t xml:space="preserve"> FORRO EM PLACAS DE GESSO, PARA AMBIENTES COMERCIAIS. AF_05/2017</t>
  </si>
  <si>
    <t>CONTRAPISO ACÚSTICO EM ARGAMASSA TRAÇO 1:4 (CIMENTO E AREIA), PREPARO MANUAL, APLICADO EM ÁREAS SECAS MENORES QUE 15M2, ESPESSURA 5CM.  A MANTA ACÚSTICA DEVE SER INSTALADA ATÉ 15CM DE ALTURA</t>
  </si>
  <si>
    <t>RAMPA:</t>
  </si>
  <si>
    <t>1.4</t>
  </si>
  <si>
    <t>LIGAÇÕES PROVISÓRIAS</t>
  </si>
  <si>
    <t>2.4</t>
  </si>
  <si>
    <t>DNIT</t>
  </si>
  <si>
    <t>MANUTENÇÃO DE ESCRITÓRIO</t>
  </si>
  <si>
    <t>LARGURA:</t>
  </si>
  <si>
    <t>COMPRIMENTO:</t>
  </si>
  <si>
    <t>ALTURA MÁXIMA</t>
  </si>
  <si>
    <t>ELETRODUTO RÍGIDO ROSCÁVEL, PVC, DN 32 MM (1")</t>
  </si>
  <si>
    <t>FIXAÇÃO DE TUBOS HORIZONTAIS</t>
  </si>
  <si>
    <t>14.2</t>
  </si>
  <si>
    <t>14.3</t>
  </si>
  <si>
    <t>TRAMA DE MADEIRA COMPOSTA POR RIPAS, CAIBROS E TERÇAS PARA TELHADOS</t>
  </si>
  <si>
    <t>RASGO EM CONTRAPISO</t>
  </si>
  <si>
    <t>11.6</t>
  </si>
  <si>
    <t>PINTURA INTERNA</t>
  </si>
  <si>
    <t>Acabamento para Válvula Hydra Eco Conforto com Conversor Cromado Deca</t>
  </si>
  <si>
    <t>16.2</t>
  </si>
  <si>
    <t>16.3</t>
  </si>
  <si>
    <t>16.4</t>
  </si>
  <si>
    <t>16.5</t>
  </si>
  <si>
    <t xml:space="preserve">CHAPISCO APLICADO EM ALVENARIA (SEM PRESENÇA DE VÃOS) E ESTRUTURAS DE CONCRETO DE FACHADA, COM COLHER DE PEDREIRO. ARGAMASSA TRAÇO 1:3 COM PREPARO MANUAL. </t>
  </si>
  <si>
    <t>MASSA ÚNICA, PARA RECEBIMENTO DE PINTURA, EM ARGAMASSA TRAÇO 1:2:8, PREPARO MANUAL, APLICADA ESPESSURA DE 20MM, COM EXECUÇÃO DE TALISCAS.MANUALMENTE EM FACES INTERNAS DE PAREDES, ESPES</t>
  </si>
  <si>
    <t>EMBOÇO OU MASSA ÚNICA EM ARGAMASSA TRAÇO 1:2:8, PREPARO MANUAL, APLICADA MANUALMENTE EM PANOS CEGOS DE FACHADA (SEM PRESENÇA DE VÃOS), ESPESSURA DE 25 MM.</t>
  </si>
  <si>
    <t>S03967</t>
  </si>
  <si>
    <t>REMOÇÃO DE PINTURA COM APLICAÇÃO 01 DEMÃO DE REMOVEDOR DE TINTA, MARCA CORAL OU SIMILAR</t>
  </si>
  <si>
    <t>SERVIÇOS COMPLEMENTARES</t>
  </si>
  <si>
    <t>5.10</t>
  </si>
  <si>
    <t>6.9</t>
  </si>
  <si>
    <t>RETIRADA DE APARELHOS SANITARIOS (LOUÇAS)</t>
  </si>
  <si>
    <t>3.25</t>
  </si>
  <si>
    <t>IMPERMEABILIZAÇAO COM VEDAPREN PAREDE OU SIMILAR, 03 DEMÃOS</t>
  </si>
  <si>
    <t>REGISTRO DE GAVETA BRUTO, LATÃO, ROSCÁVEL, 3/4", COM ACABAMENTO E CANOPLA CROMADOS. FORNECIDO E INSTALADO EM RAMAL DE ÁGUA.</t>
  </si>
  <si>
    <t>SUPERINTENDÊNCIA DE MEIO AMBIENTE E INFRAESTRUTURA</t>
  </si>
  <si>
    <t>15.5</t>
  </si>
  <si>
    <t>15.6</t>
  </si>
  <si>
    <t>15.8</t>
  </si>
  <si>
    <t>S08439</t>
  </si>
  <si>
    <t>S11229</t>
  </si>
  <si>
    <t>S10727 MOD</t>
  </si>
  <si>
    <t>73768/004</t>
  </si>
  <si>
    <t>CABO TELEFONICO CI-50 20PARES (USO INTERNO)</t>
  </si>
  <si>
    <t>RODAPÉ INTEGRADO COM A MANTA VINÍLICA H=15CM</t>
  </si>
  <si>
    <t>ESQUADRIA ISOLANTE EM VIDRO DUPLO LAMINADO 1,80X1,00M (EI.03)</t>
  </si>
  <si>
    <t>PERFIL DE ALUMÍNIO</t>
  </si>
  <si>
    <t>S08972</t>
  </si>
  <si>
    <t>VIDRO TEMPERADO INCOLOR, ESPESSURA 8MM</t>
  </si>
  <si>
    <t>KG</t>
  </si>
  <si>
    <t>SILICONE ACETICO USO GERAL INCOLOR 280 G</t>
  </si>
  <si>
    <t>SILICA GEL AZUL 2 A 4MM MESH 5 A 8</t>
  </si>
  <si>
    <t>LOJASSYNTH.COM</t>
  </si>
  <si>
    <t>S11922</t>
  </si>
  <si>
    <t>VIDRO COMUM LAMINADO, LISO, INCOLOR, TRIPLO, ESPESSURA TOTAL 12 MM (CADA CAMADA E= 4 MM) - COLOCADO</t>
  </si>
  <si>
    <t>FITA ADESIVA 3M OU SIMILAR ROLO COM 20 M</t>
  </si>
  <si>
    <t>FORRO OWA CONSTELLATION OU SIMILAR - FORNECIMENTO E INSTALAÇÃO</t>
  </si>
  <si>
    <t>S12024</t>
  </si>
  <si>
    <t>7.4</t>
  </si>
  <si>
    <t>7.5</t>
  </si>
  <si>
    <t>7.6</t>
  </si>
  <si>
    <t>APLICAÇÃO DE FUNDO SELADOR ACRÍLICO EM TETO, UMA DEMÃO.</t>
  </si>
  <si>
    <t>APLICAÇÃO MANUAL DE PINTURA COM TINTA LÁTEX ACRÍLICA EM TETO, DUAS DEMÃOS</t>
  </si>
  <si>
    <t>12.09.2017</t>
  </si>
  <si>
    <t>SETEMBRO/2017</t>
  </si>
  <si>
    <t>B.D.I.:</t>
  </si>
  <si>
    <t>B.D.I.</t>
  </si>
  <si>
    <t>V.TOTAL(R$)           c/ B.D.I.</t>
  </si>
  <si>
    <t>00010775</t>
  </si>
  <si>
    <t>85407</t>
  </si>
  <si>
    <t>85334</t>
  </si>
  <si>
    <t>85333</t>
  </si>
  <si>
    <t>85332</t>
  </si>
  <si>
    <t>95302</t>
  </si>
  <si>
    <t>87472</t>
  </si>
  <si>
    <t>93182</t>
  </si>
  <si>
    <t>93184</t>
  </si>
  <si>
    <t>90902</t>
  </si>
  <si>
    <t>87737</t>
  </si>
  <si>
    <t>S04850</t>
  </si>
  <si>
    <t>94975</t>
  </si>
  <si>
    <t>87878</t>
  </si>
  <si>
    <t>87530</t>
  </si>
  <si>
    <t>87532</t>
  </si>
  <si>
    <t>00039700</t>
  </si>
  <si>
    <t>00039432</t>
  </si>
  <si>
    <t>96113</t>
  </si>
  <si>
    <t>88488</t>
  </si>
  <si>
    <t>84647</t>
  </si>
  <si>
    <t>88485</t>
  </si>
  <si>
    <t>88489</t>
  </si>
  <si>
    <t>COTAÇÃO ALUMAR</t>
  </si>
  <si>
    <t>00037400</t>
  </si>
  <si>
    <t>89987</t>
  </si>
  <si>
    <t>72289</t>
  </si>
  <si>
    <t>89714</t>
  </si>
  <si>
    <t>89491</t>
  </si>
  <si>
    <t>93009</t>
  </si>
  <si>
    <t>93010</t>
  </si>
  <si>
    <t>93008</t>
  </si>
  <si>
    <t>91171</t>
  </si>
  <si>
    <t>91926</t>
  </si>
  <si>
    <t>91955</t>
  </si>
  <si>
    <t>91959</t>
  </si>
  <si>
    <t>00039841</t>
  </si>
  <si>
    <t>90445</t>
  </si>
  <si>
    <t>91864</t>
  </si>
  <si>
    <t>87893</t>
  </si>
  <si>
    <t>87794</t>
  </si>
  <si>
    <t>S06844</t>
  </si>
  <si>
    <t>S11337</t>
  </si>
  <si>
    <t>I12620</t>
  </si>
  <si>
    <t>S11492</t>
  </si>
  <si>
    <t>ISOLANTE TERMOACÚSTICA CONFORME ESPECIFICAÇÃO</t>
  </si>
  <si>
    <t>S08387</t>
  </si>
  <si>
    <t>S07213</t>
  </si>
  <si>
    <t>IMPERMEABILIZAÇAO COM VEDAPREN OU SIMILAR, 03 DEMÃOS</t>
  </si>
  <si>
    <t>S04312</t>
  </si>
  <si>
    <t>S09982</t>
  </si>
  <si>
    <t>I09212</t>
  </si>
  <si>
    <t>S01871</t>
  </si>
  <si>
    <t>S01682</t>
  </si>
  <si>
    <t>S07327</t>
  </si>
  <si>
    <t>00039387</t>
  </si>
  <si>
    <t>LAMPADA LED TUBULAR BIVOLT 18/20 W, BASE G13</t>
  </si>
  <si>
    <t>12.26</t>
  </si>
  <si>
    <t>12295</t>
  </si>
  <si>
    <t>S05082</t>
  </si>
  <si>
    <t>90466</t>
  </si>
  <si>
    <t>CHUMBAMENTO LINEAR EM ALVENARIA</t>
  </si>
  <si>
    <t>MARCA EMPRESA</t>
  </si>
  <si>
    <t>MARCA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</si>
</sst>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0"/>
    <numFmt numFmtId="175" formatCode="0.0%"/>
    <numFmt numFmtId="176" formatCode="0.0000"/>
    <numFmt numFmtId="178" formatCode="dd/mm/yy;@"/>
    <numFmt numFmtId="179" formatCode="#,"/>
    <numFmt numFmtId="180" formatCode="#,##0.00\ ;&quot; (&quot;#,##0.00\);&quot; -&quot;#\ ;@\ "/>
    <numFmt numFmtId="181" formatCode="#,##0.00_ ;\-#,##0.00\ "/>
    <numFmt numFmtId="182" formatCode="d/m/yy\ h:mm;@"/>
  </numFmts>
  <fonts count="133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2"/>
      <name val="Arial Narrow"/>
      <family val="2"/>
    </font>
    <font>
      <i/>
      <sz val="10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6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sz val="10"/>
      <name val="Mangal"/>
      <family val="2"/>
    </font>
    <font>
      <sz val="11"/>
      <color indexed="8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0"/>
      <name val="Arial Narrow"/>
      <family val="2"/>
    </font>
    <font>
      <sz val="11"/>
      <name val="Arial"/>
      <family val="2"/>
    </font>
    <font>
      <b/>
      <sz val="24"/>
      <name val="Arial Narrow"/>
      <family val="2"/>
    </font>
    <font>
      <sz val="8"/>
      <name val="Comic Sans MS"/>
      <family val="4"/>
    </font>
    <font>
      <b/>
      <sz val="18"/>
      <name val="Arial Narrow"/>
      <family val="2"/>
    </font>
    <font>
      <b/>
      <sz val="10"/>
      <color indexed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1"/>
      <color indexed="54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trike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62"/>
      <name val="Arial Narrow"/>
      <family val="2"/>
    </font>
    <font>
      <b/>
      <sz val="14"/>
      <color indexed="10"/>
      <name val="Arial Narrow"/>
      <family val="2"/>
    </font>
    <font>
      <sz val="14"/>
      <color indexed="8"/>
      <name val="Arial Narrow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ourier"/>
      <family val="3"/>
    </font>
    <font>
      <sz val="8"/>
      <name val="Arial"/>
      <family val="2"/>
    </font>
    <font>
      <i/>
      <sz val="8"/>
      <color indexed="8"/>
      <name val="Arial Narrow"/>
      <family val="2"/>
    </font>
    <font>
      <sz val="8"/>
      <name val="Arial Narrow"/>
      <family val="2"/>
    </font>
    <font>
      <b/>
      <sz val="15"/>
      <name val="Arial Narrow"/>
      <family val="2"/>
    </font>
    <font>
      <sz val="8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4"/>
      <color theme="1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4">
    <xf numFmtId="0" fontId="0" fillId="0" borderId="0"/>
    <xf numFmtId="0" fontId="2" fillId="0" borderId="0"/>
    <xf numFmtId="0" fontId="14" fillId="2" borderId="0" applyNumberFormat="0" applyBorder="0" applyAlignment="0" applyProtection="0"/>
    <xf numFmtId="0" fontId="108" fillId="30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08" fillId="31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08" fillId="3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08" fillId="3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08" fillId="3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08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08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08" fillId="3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08" fillId="38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08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08" fillId="4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08" fillId="4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09" fillId="4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09" fillId="4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09" fillId="44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09" fillId="45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09" fillId="4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09" fillId="47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10" fillId="48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11" fillId="49" borderId="65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12" fillId="50" borderId="66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13" fillId="0" borderId="67" applyNumberFormat="0" applyFill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09" fillId="51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09" fillId="52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09" fillId="5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09" fillId="5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09" fillId="55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09" fillId="56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114" fillId="57" borderId="65" applyNumberFormat="0" applyAlignment="0" applyProtection="0"/>
    <xf numFmtId="0" fontId="20" fillId="7" borderId="1" applyNumberFormat="0" applyAlignment="0" applyProtection="0"/>
    <xf numFmtId="0" fontId="115" fillId="58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/>
    <xf numFmtId="172" fontId="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17" fillId="59" borderId="0" applyNumberFormat="0" applyBorder="0" applyAlignment="0" applyProtection="0"/>
    <xf numFmtId="0" fontId="23" fillId="22" borderId="0" applyNumberFormat="0" applyBorder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39" fontId="22" fillId="0" borderId="0"/>
    <xf numFmtId="0" fontId="108" fillId="0" borderId="0"/>
    <xf numFmtId="0" fontId="14" fillId="0" borderId="0"/>
    <xf numFmtId="0" fontId="2" fillId="0" borderId="0"/>
    <xf numFmtId="0" fontId="118" fillId="0" borderId="0"/>
    <xf numFmtId="0" fontId="1" fillId="0" borderId="0"/>
    <xf numFmtId="0" fontId="62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97" fillId="0" borderId="0"/>
    <xf numFmtId="0" fontId="2" fillId="0" borderId="0"/>
    <xf numFmtId="0" fontId="100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8" fillId="0" borderId="0"/>
    <xf numFmtId="0" fontId="2" fillId="0" borderId="0"/>
    <xf numFmtId="0" fontId="2" fillId="0" borderId="0"/>
    <xf numFmtId="0" fontId="108" fillId="0" borderId="0"/>
    <xf numFmtId="0" fontId="14" fillId="0" borderId="0"/>
    <xf numFmtId="0" fontId="53" fillId="0" borderId="0"/>
    <xf numFmtId="0" fontId="13" fillId="23" borderId="4" applyNumberFormat="0" applyFont="0" applyAlignment="0" applyProtection="0"/>
    <xf numFmtId="0" fontId="2" fillId="23" borderId="4" applyNumberFormat="0" applyFont="0" applyAlignment="0" applyProtection="0"/>
    <xf numFmtId="0" fontId="14" fillId="60" borderId="68" applyNumberFormat="0" applyFont="0" applyAlignment="0" applyProtection="0"/>
    <xf numFmtId="0" fontId="2" fillId="23" borderId="4" applyNumberFormat="0" applyFont="0" applyAlignment="0" applyProtection="0"/>
    <xf numFmtId="0" fontId="82" fillId="60" borderId="68" applyNumberFormat="0" applyFont="0" applyAlignment="0" applyProtection="0"/>
    <xf numFmtId="0" fontId="14" fillId="60" borderId="68" applyNumberFormat="0" applyFont="0" applyAlignment="0" applyProtection="0"/>
    <xf numFmtId="0" fontId="98" fillId="60" borderId="68" applyNumberFormat="0" applyFont="0" applyAlignment="0" applyProtection="0"/>
    <xf numFmtId="0" fontId="108" fillId="60" borderId="68" applyNumberFormat="0" applyFont="0" applyAlignment="0" applyProtection="0"/>
    <xf numFmtId="0" fontId="14" fillId="60" borderId="6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6" borderId="5" applyNumberFormat="0" applyAlignment="0" applyProtection="0"/>
    <xf numFmtId="0" fontId="119" fillId="49" borderId="69" applyNumberFormat="0" applyAlignment="0" applyProtection="0"/>
    <xf numFmtId="0" fontId="25" fillId="16" borderId="5" applyNumberFormat="0" applyAlignment="0" applyProtection="0"/>
    <xf numFmtId="179" fontId="26" fillId="0" borderId="0">
      <protection locked="0"/>
    </xf>
    <xf numFmtId="17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22" fillId="0" borderId="70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23" fillId="0" borderId="71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124" fillId="0" borderId="72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9" fillId="0" borderId="73" applyNumberFormat="0" applyFill="0" applyAlignment="0" applyProtection="0"/>
    <xf numFmtId="0" fontId="33" fillId="0" borderId="9" applyNumberFormat="0" applyFill="0" applyAlignment="0" applyProtection="0"/>
    <xf numFmtId="173" fontId="2" fillId="0" borderId="0" applyFont="0" applyFill="0" applyBorder="0" applyAlignment="0" applyProtection="0"/>
    <xf numFmtId="180" fontId="48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48" fillId="0" borderId="0" applyFill="0" applyBorder="0" applyAlignment="0" applyProtection="0"/>
    <xf numFmtId="43" fontId="9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9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24">
    <xf numFmtId="0" fontId="0" fillId="0" borderId="0" xfId="0"/>
    <xf numFmtId="0" fontId="3" fillId="0" borderId="0" xfId="220" applyNumberFormat="1" applyFont="1" applyAlignment="1">
      <alignment horizontal="center" vertical="center"/>
    </xf>
    <xf numFmtId="173" fontId="3" fillId="0" borderId="0" xfId="220" applyFont="1" applyAlignment="1"/>
    <xf numFmtId="173" fontId="3" fillId="0" borderId="0" xfId="220" applyFont="1" applyAlignment="1">
      <alignment horizontal="center"/>
    </xf>
    <xf numFmtId="173" fontId="35" fillId="0" borderId="10" xfId="220" applyFont="1" applyFill="1" applyBorder="1" applyAlignment="1">
      <alignment horizontal="center"/>
    </xf>
    <xf numFmtId="173" fontId="10" fillId="0" borderId="11" xfId="220" applyFont="1" applyBorder="1" applyAlignment="1"/>
    <xf numFmtId="173" fontId="10" fillId="0" borderId="0" xfId="220" applyFont="1" applyBorder="1" applyAlignment="1"/>
    <xf numFmtId="173" fontId="10" fillId="0" borderId="12" xfId="220" applyFont="1" applyBorder="1" applyAlignment="1"/>
    <xf numFmtId="10" fontId="9" fillId="0" borderId="13" xfId="169" applyNumberFormat="1" applyFont="1" applyBorder="1" applyAlignment="1"/>
    <xf numFmtId="10" fontId="9" fillId="0" borderId="14" xfId="169" applyNumberFormat="1" applyFont="1" applyBorder="1" applyAlignment="1"/>
    <xf numFmtId="10" fontId="9" fillId="0" borderId="15" xfId="169" applyNumberFormat="1" applyFont="1" applyBorder="1" applyAlignment="1"/>
    <xf numFmtId="4" fontId="35" fillId="0" borderId="10" xfId="220" applyNumberFormat="1" applyFont="1" applyFill="1" applyBorder="1" applyAlignment="1">
      <alignment horizontal="right"/>
    </xf>
    <xf numFmtId="4" fontId="3" fillId="0" borderId="0" xfId="220" applyNumberFormat="1" applyFont="1" applyAlignment="1">
      <alignment horizontal="center"/>
    </xf>
    <xf numFmtId="4" fontId="35" fillId="0" borderId="16" xfId="220" applyNumberFormat="1" applyFont="1" applyFill="1" applyBorder="1" applyAlignment="1">
      <alignment horizontal="right"/>
    </xf>
    <xf numFmtId="173" fontId="3" fillId="0" borderId="0" xfId="220" applyFont="1" applyBorder="1" applyAlignment="1">
      <alignment horizontal="center"/>
    </xf>
    <xf numFmtId="4" fontId="3" fillId="0" borderId="0" xfId="220" applyNumberFormat="1" applyFont="1" applyBorder="1" applyAlignment="1">
      <alignment horizontal="center"/>
    </xf>
    <xf numFmtId="173" fontId="3" fillId="0" borderId="0" xfId="220" applyFont="1" applyBorder="1" applyAlignment="1"/>
    <xf numFmtId="4" fontId="50" fillId="0" borderId="0" xfId="220" applyNumberFormat="1" applyFont="1" applyFill="1" applyBorder="1" applyAlignment="1">
      <alignment horizontal="center" vertical="center"/>
    </xf>
    <xf numFmtId="0" fontId="7" fillId="0" borderId="0" xfId="220" applyNumberFormat="1" applyFont="1" applyBorder="1" applyAlignment="1">
      <alignment horizontal="center" vertical="center"/>
    </xf>
    <xf numFmtId="173" fontId="8" fillId="0" borderId="0" xfId="220" applyFont="1" applyBorder="1" applyAlignment="1">
      <alignment horizontal="center"/>
    </xf>
    <xf numFmtId="4" fontId="8" fillId="0" borderId="0" xfId="220" applyNumberFormat="1" applyFont="1" applyBorder="1" applyAlignment="1">
      <alignment horizontal="center"/>
    </xf>
    <xf numFmtId="173" fontId="8" fillId="0" borderId="0" xfId="220" applyFont="1" applyBorder="1" applyAlignment="1"/>
    <xf numFmtId="172" fontId="5" fillId="0" borderId="11" xfId="94" applyFont="1" applyFill="1" applyBorder="1" applyAlignment="1" applyProtection="1">
      <alignment horizontal="center" wrapText="1"/>
      <protection locked="0"/>
    </xf>
    <xf numFmtId="172" fontId="5" fillId="0" borderId="0" xfId="94" applyFont="1" applyFill="1" applyBorder="1" applyAlignment="1" applyProtection="1">
      <alignment horizontal="center" wrapText="1"/>
      <protection locked="0"/>
    </xf>
    <xf numFmtId="172" fontId="49" fillId="0" borderId="0" xfId="92" applyFont="1" applyAlignment="1">
      <alignment vertical="center"/>
    </xf>
    <xf numFmtId="4" fontId="34" fillId="0" borderId="10" xfId="220" applyNumberFormat="1" applyFont="1" applyFill="1" applyBorder="1" applyAlignment="1">
      <alignment horizontal="right"/>
    </xf>
    <xf numFmtId="0" fontId="3" fillId="0" borderId="0" xfId="117" applyFont="1" applyAlignment="1">
      <alignment vertical="center"/>
    </xf>
    <xf numFmtId="49" fontId="36" fillId="0" borderId="17" xfId="136" applyNumberFormat="1" applyFont="1" applyFill="1" applyBorder="1" applyAlignment="1" applyProtection="1">
      <alignment horizontal="left" vertical="center" wrapText="1"/>
      <protection locked="0"/>
    </xf>
    <xf numFmtId="49" fontId="36" fillId="0" borderId="0" xfId="136" applyNumberFormat="1" applyFont="1" applyFill="1" applyBorder="1" applyAlignment="1" applyProtection="1">
      <alignment horizontal="left" vertical="center" wrapText="1"/>
      <protection locked="0"/>
    </xf>
    <xf numFmtId="49" fontId="36" fillId="0" borderId="0" xfId="136" applyNumberFormat="1" applyFont="1" applyFill="1" applyBorder="1" applyAlignment="1" applyProtection="1">
      <alignment vertical="distributed" wrapText="1"/>
      <protection locked="0"/>
    </xf>
    <xf numFmtId="49" fontId="36" fillId="0" borderId="0" xfId="136" applyNumberFormat="1" applyFont="1" applyFill="1" applyBorder="1" applyAlignment="1" applyProtection="1">
      <alignment horizontal="center" wrapText="1"/>
      <protection locked="0"/>
    </xf>
    <xf numFmtId="0" fontId="7" fillId="0" borderId="0" xfId="117" applyFont="1" applyAlignment="1">
      <alignment vertical="center"/>
    </xf>
    <xf numFmtId="0" fontId="34" fillId="0" borderId="10" xfId="117" applyFont="1" applyFill="1" applyBorder="1" applyAlignment="1">
      <alignment vertical="distributed" wrapText="1"/>
    </xf>
    <xf numFmtId="0" fontId="35" fillId="0" borderId="10" xfId="117" applyFont="1" applyFill="1" applyBorder="1" applyAlignment="1">
      <alignment vertical="distributed" wrapText="1"/>
    </xf>
    <xf numFmtId="0" fontId="35" fillId="0" borderId="10" xfId="117" applyFont="1" applyFill="1" applyBorder="1" applyAlignment="1">
      <alignment vertical="distributed"/>
    </xf>
    <xf numFmtId="4" fontId="35" fillId="24" borderId="16" xfId="220" applyNumberFormat="1" applyFont="1" applyFill="1" applyBorder="1" applyAlignment="1">
      <alignment horizontal="right"/>
    </xf>
    <xf numFmtId="43" fontId="7" fillId="0" borderId="0" xfId="117" applyNumberFormat="1" applyFont="1" applyAlignment="1">
      <alignment vertical="center"/>
    </xf>
    <xf numFmtId="0" fontId="11" fillId="0" borderId="0" xfId="117" applyFont="1" applyBorder="1" applyAlignment="1">
      <alignment vertical="distributed" wrapText="1"/>
    </xf>
    <xf numFmtId="176" fontId="44" fillId="0" borderId="0" xfId="117" applyNumberFormat="1" applyFont="1" applyBorder="1"/>
    <xf numFmtId="0" fontId="44" fillId="0" borderId="0" xfId="117" applyFont="1" applyBorder="1"/>
    <xf numFmtId="0" fontId="44" fillId="0" borderId="0" xfId="117" applyFont="1" applyBorder="1" applyAlignment="1">
      <alignment horizontal="center"/>
    </xf>
    <xf numFmtId="176" fontId="44" fillId="0" borderId="0" xfId="117" applyNumberFormat="1" applyFont="1" applyBorder="1" applyAlignment="1">
      <alignment horizontal="right"/>
    </xf>
    <xf numFmtId="0" fontId="50" fillId="0" borderId="0" xfId="117" applyFont="1" applyBorder="1" applyAlignment="1">
      <alignment horizontal="right"/>
    </xf>
    <xf numFmtId="0" fontId="44" fillId="0" borderId="0" xfId="117" applyFont="1" applyBorder="1" applyAlignment="1">
      <alignment horizontal="right"/>
    </xf>
    <xf numFmtId="0" fontId="3" fillId="0" borderId="0" xfId="117" applyFont="1" applyAlignment="1">
      <alignment vertical="distributed" wrapText="1"/>
    </xf>
    <xf numFmtId="10" fontId="41" fillId="0" borderId="11" xfId="169" applyNumberFormat="1" applyFont="1" applyBorder="1" applyAlignment="1">
      <alignment horizontal="center" vertical="center"/>
    </xf>
    <xf numFmtId="10" fontId="3" fillId="0" borderId="11" xfId="169" applyNumberFormat="1" applyFont="1" applyBorder="1" applyAlignment="1"/>
    <xf numFmtId="10" fontId="41" fillId="0" borderId="0" xfId="169" applyNumberFormat="1" applyFont="1" applyBorder="1" applyAlignment="1">
      <alignment horizontal="center" vertical="center"/>
    </xf>
    <xf numFmtId="10" fontId="3" fillId="0" borderId="0" xfId="169" applyNumberFormat="1" applyFont="1" applyBorder="1" applyAlignment="1"/>
    <xf numFmtId="49" fontId="36" fillId="0" borderId="0" xfId="136" applyNumberFormat="1" applyFont="1" applyFill="1" applyBorder="1" applyAlignment="1" applyProtection="1">
      <alignment wrapText="1"/>
      <protection locked="0"/>
    </xf>
    <xf numFmtId="49" fontId="5" fillId="0" borderId="12" xfId="136" applyNumberFormat="1" applyFont="1" applyFill="1" applyBorder="1" applyAlignment="1" applyProtection="1">
      <alignment horizontal="center" wrapText="1"/>
      <protection locked="0"/>
    </xf>
    <xf numFmtId="0" fontId="4" fillId="0" borderId="18" xfId="159" quotePrefix="1" applyNumberFormat="1" applyFont="1" applyFill="1" applyBorder="1" applyAlignment="1">
      <alignment horizontal="center" vertical="center"/>
    </xf>
    <xf numFmtId="0" fontId="4" fillId="0" borderId="10" xfId="159" quotePrefix="1" applyNumberFormat="1" applyFont="1" applyFill="1" applyBorder="1" applyAlignment="1">
      <alignment horizontal="left" vertical="center"/>
    </xf>
    <xf numFmtId="173" fontId="12" fillId="0" borderId="10" xfId="220" applyFont="1" applyFill="1" applyBorder="1" applyAlignment="1">
      <alignment horizontal="center" vertical="center"/>
    </xf>
    <xf numFmtId="10" fontId="12" fillId="0" borderId="10" xfId="169" applyNumberFormat="1" applyFont="1" applyFill="1" applyBorder="1" applyAlignment="1">
      <alignment horizontal="center" vertical="center"/>
    </xf>
    <xf numFmtId="173" fontId="12" fillId="0" borderId="10" xfId="220" applyFont="1" applyFill="1" applyBorder="1" applyAlignment="1">
      <alignment horizontal="left" vertical="center"/>
    </xf>
    <xf numFmtId="175" fontId="12" fillId="0" borderId="10" xfId="169" applyNumberFormat="1" applyFont="1" applyFill="1" applyBorder="1" applyAlignment="1">
      <alignment horizontal="center"/>
    </xf>
    <xf numFmtId="173" fontId="12" fillId="0" borderId="10" xfId="220" applyFont="1" applyFill="1" applyBorder="1"/>
    <xf numFmtId="173" fontId="12" fillId="0" borderId="16" xfId="220" applyFont="1" applyFill="1" applyBorder="1"/>
    <xf numFmtId="173" fontId="2" fillId="0" borderId="19" xfId="220" applyFont="1" applyFill="1" applyBorder="1"/>
    <xf numFmtId="9" fontId="2" fillId="0" borderId="10" xfId="169" applyNumberFormat="1" applyFont="1" applyFill="1" applyBorder="1" applyAlignment="1">
      <alignment horizontal="center"/>
    </xf>
    <xf numFmtId="173" fontId="2" fillId="0" borderId="10" xfId="220" applyFont="1" applyFill="1" applyBorder="1"/>
    <xf numFmtId="173" fontId="2" fillId="0" borderId="16" xfId="220" applyFont="1" applyFill="1" applyBorder="1"/>
    <xf numFmtId="10" fontId="58" fillId="0" borderId="0" xfId="220" applyNumberFormat="1" applyFont="1" applyFill="1" applyAlignment="1">
      <alignment horizontal="center"/>
    </xf>
    <xf numFmtId="0" fontId="5" fillId="25" borderId="18" xfId="152" applyFont="1" applyFill="1" applyBorder="1" applyAlignment="1">
      <alignment horizontal="center" vertical="center"/>
    </xf>
    <xf numFmtId="10" fontId="2" fillId="26" borderId="10" xfId="169" applyNumberFormat="1" applyFont="1" applyFill="1" applyBorder="1" applyAlignment="1">
      <alignment horizontal="center"/>
    </xf>
    <xf numFmtId="173" fontId="58" fillId="0" borderId="0" xfId="220" applyFont="1" applyFill="1" applyAlignment="1">
      <alignment horizontal="center"/>
    </xf>
    <xf numFmtId="173" fontId="2" fillId="26" borderId="20" xfId="220" applyFont="1" applyFill="1" applyBorder="1"/>
    <xf numFmtId="173" fontId="2" fillId="26" borderId="21" xfId="220" applyFont="1" applyFill="1" applyBorder="1"/>
    <xf numFmtId="173" fontId="2" fillId="26" borderId="22" xfId="220" applyFont="1" applyFill="1" applyBorder="1"/>
    <xf numFmtId="173" fontId="12" fillId="0" borderId="0" xfId="220" applyFont="1" applyFill="1" applyBorder="1" applyAlignment="1">
      <alignment horizontal="center" vertical="center"/>
    </xf>
    <xf numFmtId="4" fontId="12" fillId="0" borderId="0" xfId="220" applyNumberFormat="1" applyFont="1" applyFill="1" applyBorder="1" applyAlignment="1">
      <alignment horizontal="center"/>
    </xf>
    <xf numFmtId="173" fontId="12" fillId="0" borderId="0" xfId="220" applyFont="1" applyFill="1" applyBorder="1" applyAlignment="1">
      <alignment horizontal="right"/>
    </xf>
    <xf numFmtId="173" fontId="12" fillId="0" borderId="0" xfId="220" applyFont="1" applyFill="1" applyAlignment="1">
      <alignment horizontal="center" vertical="center"/>
    </xf>
    <xf numFmtId="4" fontId="12" fillId="0" borderId="0" xfId="220" applyNumberFormat="1" applyFont="1" applyFill="1" applyAlignment="1">
      <alignment horizontal="center"/>
    </xf>
    <xf numFmtId="173" fontId="12" fillId="0" borderId="0" xfId="220" applyFont="1" applyFill="1" applyAlignment="1">
      <alignment horizontal="right"/>
    </xf>
    <xf numFmtId="173" fontId="12" fillId="0" borderId="11" xfId="220" applyFont="1" applyFill="1" applyBorder="1" applyAlignment="1">
      <alignment horizontal="center" vertical="center"/>
    </xf>
    <xf numFmtId="4" fontId="12" fillId="0" borderId="11" xfId="220" applyNumberFormat="1" applyFont="1" applyFill="1" applyBorder="1" applyAlignment="1">
      <alignment horizontal="center"/>
    </xf>
    <xf numFmtId="173" fontId="12" fillId="0" borderId="11" xfId="220" applyFont="1" applyFill="1" applyBorder="1" applyAlignment="1">
      <alignment horizontal="right"/>
    </xf>
    <xf numFmtId="173" fontId="12" fillId="0" borderId="12" xfId="220" applyFont="1" applyFill="1" applyBorder="1" applyAlignment="1">
      <alignment horizontal="center" vertical="center"/>
    </xf>
    <xf numFmtId="4" fontId="12" fillId="0" borderId="12" xfId="220" applyNumberFormat="1" applyFont="1" applyFill="1" applyBorder="1" applyAlignment="1">
      <alignment horizontal="center"/>
    </xf>
    <xf numFmtId="173" fontId="12" fillId="0" borderId="12" xfId="220" applyFont="1" applyFill="1" applyBorder="1" applyAlignment="1">
      <alignment horizontal="right"/>
    </xf>
    <xf numFmtId="10" fontId="12" fillId="0" borderId="0" xfId="220" applyNumberFormat="1" applyFont="1" applyFill="1" applyAlignment="1">
      <alignment horizontal="center" vertical="center"/>
    </xf>
    <xf numFmtId="173" fontId="55" fillId="0" borderId="0" xfId="220" applyFont="1" applyFill="1" applyAlignment="1">
      <alignment horizontal="center" vertical="center"/>
    </xf>
    <xf numFmtId="4" fontId="55" fillId="0" borderId="0" xfId="220" applyNumberFormat="1" applyFont="1" applyFill="1" applyAlignment="1">
      <alignment horizontal="center"/>
    </xf>
    <xf numFmtId="173" fontId="55" fillId="0" borderId="0" xfId="220" applyFont="1" applyFill="1" applyAlignment="1">
      <alignment horizontal="right"/>
    </xf>
    <xf numFmtId="0" fontId="83" fillId="0" borderId="0" xfId="117" applyFont="1" applyAlignment="1">
      <alignment vertical="center"/>
    </xf>
    <xf numFmtId="0" fontId="2" fillId="0" borderId="0" xfId="117"/>
    <xf numFmtId="173" fontId="3" fillId="0" borderId="0" xfId="220" applyFont="1" applyAlignment="1">
      <alignment horizontal="center" vertical="center"/>
    </xf>
    <xf numFmtId="173" fontId="7" fillId="0" borderId="0" xfId="220" applyFont="1" applyAlignment="1">
      <alignment horizontal="center" vertical="center"/>
    </xf>
    <xf numFmtId="0" fontId="6" fillId="0" borderId="0" xfId="117" applyFont="1" applyAlignment="1">
      <alignment horizontal="right" vertical="center"/>
    </xf>
    <xf numFmtId="0" fontId="35" fillId="0" borderId="10" xfId="0" applyFont="1" applyFill="1" applyBorder="1" applyAlignment="1">
      <alignment vertical="distributed" wrapText="1"/>
    </xf>
    <xf numFmtId="0" fontId="35" fillId="24" borderId="10" xfId="117" applyFont="1" applyFill="1" applyBorder="1" applyAlignment="1">
      <alignment vertical="distributed" wrapText="1"/>
    </xf>
    <xf numFmtId="173" fontId="7" fillId="0" borderId="0" xfId="117" applyNumberFormat="1" applyFont="1" applyAlignment="1">
      <alignment vertical="center"/>
    </xf>
    <xf numFmtId="0" fontId="40" fillId="0" borderId="23" xfId="220" applyNumberFormat="1" applyFont="1" applyBorder="1" applyAlignment="1">
      <alignment horizontal="center"/>
    </xf>
    <xf numFmtId="0" fontId="12" fillId="0" borderId="23" xfId="220" applyNumberFormat="1" applyFont="1" applyBorder="1" applyAlignment="1">
      <alignment vertical="distributed"/>
    </xf>
    <xf numFmtId="0" fontId="12" fillId="0" borderId="23" xfId="220" applyNumberFormat="1" applyFont="1" applyBorder="1" applyAlignment="1">
      <alignment horizontal="center"/>
    </xf>
    <xf numFmtId="173" fontId="4" fillId="0" borderId="0" xfId="220" applyFont="1" applyFill="1" applyBorder="1" applyAlignment="1">
      <alignment horizontal="center" vertical="center"/>
    </xf>
    <xf numFmtId="0" fontId="10" fillId="0" borderId="18" xfId="220" applyNumberFormat="1" applyFont="1" applyFill="1" applyBorder="1" applyAlignment="1">
      <alignment horizontal="center" vertical="center"/>
    </xf>
    <xf numFmtId="49" fontId="36" fillId="0" borderId="0" xfId="136" applyNumberFormat="1" applyFont="1" applyFill="1" applyBorder="1" applyAlignment="1" applyProtection="1">
      <alignment horizontal="left" wrapText="1"/>
      <protection locked="0"/>
    </xf>
    <xf numFmtId="0" fontId="55" fillId="0" borderId="11" xfId="0" applyFont="1" applyFill="1" applyBorder="1"/>
    <xf numFmtId="9" fontId="55" fillId="0" borderId="11" xfId="0" applyNumberFormat="1" applyFont="1" applyFill="1" applyBorder="1" applyAlignment="1">
      <alignment horizontal="center"/>
    </xf>
    <xf numFmtId="0" fontId="55" fillId="0" borderId="13" xfId="0" applyFont="1" applyFill="1" applyBorder="1"/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5" fillId="0" borderId="0" xfId="0" applyFont="1" applyFill="1" applyBorder="1"/>
    <xf numFmtId="9" fontId="55" fillId="0" borderId="0" xfId="0" applyNumberFormat="1" applyFont="1" applyFill="1" applyBorder="1" applyAlignment="1">
      <alignment horizontal="center"/>
    </xf>
    <xf numFmtId="0" fontId="55" fillId="0" borderId="14" xfId="0" applyFont="1" applyFill="1" applyBorder="1"/>
    <xf numFmtId="49" fontId="63" fillId="0" borderId="17" xfId="136" applyNumberFormat="1" applyFont="1" applyFill="1" applyBorder="1" applyAlignment="1" applyProtection="1">
      <alignment horizontal="left" vertical="center" wrapText="1"/>
      <protection locked="0"/>
    </xf>
    <xf numFmtId="49" fontId="63" fillId="0" borderId="0" xfId="136" applyNumberFormat="1" applyFont="1" applyFill="1" applyBorder="1" applyAlignment="1" applyProtection="1">
      <alignment horizontal="left" vertical="center" wrapText="1"/>
      <protection locked="0"/>
    </xf>
    <xf numFmtId="0" fontId="40" fillId="0" borderId="24" xfId="186" applyNumberFormat="1" applyFont="1" applyFill="1" applyBorder="1" applyAlignment="1" applyProtection="1">
      <alignment vertical="center"/>
      <protection locked="0"/>
    </xf>
    <xf numFmtId="0" fontId="40" fillId="0" borderId="12" xfId="186" applyNumberFormat="1" applyFont="1" applyFill="1" applyBorder="1" applyAlignment="1" applyProtection="1">
      <alignment vertical="center"/>
      <protection locked="0"/>
    </xf>
    <xf numFmtId="39" fontId="5" fillId="0" borderId="12" xfId="94" applyNumberFormat="1" applyFont="1" applyFill="1" applyBorder="1" applyAlignment="1" applyProtection="1">
      <alignment wrapText="1"/>
      <protection locked="0"/>
    </xf>
    <xf numFmtId="0" fontId="55" fillId="0" borderId="12" xfId="0" applyFont="1" applyFill="1" applyBorder="1"/>
    <xf numFmtId="9" fontId="55" fillId="0" borderId="12" xfId="0" applyNumberFormat="1" applyFont="1" applyFill="1" applyBorder="1" applyAlignment="1">
      <alignment horizontal="center"/>
    </xf>
    <xf numFmtId="0" fontId="55" fillId="0" borderId="15" xfId="0" applyFont="1" applyFill="1" applyBorder="1"/>
    <xf numFmtId="0" fontId="55" fillId="0" borderId="0" xfId="0" applyFont="1" applyFill="1" applyAlignment="1">
      <alignment horizontal="right"/>
    </xf>
    <xf numFmtId="10" fontId="55" fillId="0" borderId="0" xfId="0" applyNumberFormat="1" applyFont="1" applyFill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9" fontId="55" fillId="0" borderId="0" xfId="0" applyNumberFormat="1" applyFont="1" applyFill="1" applyAlignment="1">
      <alignment horizontal="center"/>
    </xf>
    <xf numFmtId="9" fontId="4" fillId="25" borderId="10" xfId="0" applyNumberFormat="1" applyFont="1" applyFill="1" applyBorder="1" applyAlignment="1">
      <alignment horizontal="center"/>
    </xf>
    <xf numFmtId="9" fontId="58" fillId="0" borderId="0" xfId="0" applyNumberFormat="1" applyFont="1" applyFill="1"/>
    <xf numFmtId="0" fontId="58" fillId="0" borderId="0" xfId="0" applyFont="1" applyFill="1" applyAlignment="1">
      <alignment horizontal="center"/>
    </xf>
    <xf numFmtId="173" fontId="58" fillId="0" borderId="0" xfId="0" applyNumberFormat="1" applyFont="1" applyFill="1"/>
    <xf numFmtId="10" fontId="58" fillId="0" borderId="0" xfId="0" applyNumberFormat="1" applyFont="1" applyFill="1"/>
    <xf numFmtId="0" fontId="58" fillId="0" borderId="0" xfId="0" applyFont="1" applyFill="1"/>
    <xf numFmtId="0" fontId="4" fillId="0" borderId="10" xfId="159" quotePrefix="1" applyNumberFormat="1" applyFont="1" applyFill="1" applyBorder="1" applyAlignment="1">
      <alignment horizontal="left" vertical="center" wrapText="1"/>
    </xf>
    <xf numFmtId="4" fontId="4" fillId="0" borderId="10" xfId="159" quotePrefix="1" applyNumberFormat="1" applyFont="1" applyFill="1" applyBorder="1" applyAlignment="1">
      <alignment horizontal="left" vertical="center"/>
    </xf>
    <xf numFmtId="173" fontId="12" fillId="0" borderId="10" xfId="220" applyFont="1" applyFill="1" applyBorder="1" applyAlignment="1">
      <alignment horizontal="center"/>
    </xf>
    <xf numFmtId="0" fontId="38" fillId="25" borderId="10" xfId="152" applyFont="1" applyFill="1" applyBorder="1" applyAlignment="1">
      <alignment horizontal="right"/>
    </xf>
    <xf numFmtId="173" fontId="38" fillId="25" borderId="10" xfId="220" applyFont="1" applyFill="1" applyBorder="1" applyAlignment="1">
      <alignment horizontal="center" vertical="center"/>
    </xf>
    <xf numFmtId="10" fontId="5" fillId="25" borderId="10" xfId="169" applyNumberFormat="1" applyFont="1" applyFill="1" applyBorder="1" applyAlignment="1">
      <alignment horizontal="center"/>
    </xf>
    <xf numFmtId="10" fontId="38" fillId="25" borderId="10" xfId="169" applyNumberFormat="1" applyFont="1" applyFill="1" applyBorder="1" applyAlignment="1">
      <alignment horizontal="center" vertical="center"/>
    </xf>
    <xf numFmtId="173" fontId="38" fillId="25" borderId="16" xfId="220" applyFont="1" applyFill="1" applyBorder="1" applyAlignment="1">
      <alignment horizontal="center" vertical="center"/>
    </xf>
    <xf numFmtId="173" fontId="2" fillId="26" borderId="19" xfId="0" applyNumberFormat="1" applyFont="1" applyFill="1" applyBorder="1"/>
    <xf numFmtId="173" fontId="2" fillId="26" borderId="10" xfId="0" applyNumberFormat="1" applyFont="1" applyFill="1" applyBorder="1"/>
    <xf numFmtId="173" fontId="2" fillId="26" borderId="16" xfId="0" applyNumberFormat="1" applyFont="1" applyFill="1" applyBorder="1"/>
    <xf numFmtId="0" fontId="59" fillId="0" borderId="0" xfId="0" applyFont="1" applyFill="1"/>
    <xf numFmtId="10" fontId="2" fillId="26" borderId="2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right"/>
    </xf>
    <xf numFmtId="173" fontId="59" fillId="0" borderId="0" xfId="0" applyNumberFormat="1" applyFont="1" applyFill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/>
    <xf numFmtId="173" fontId="12" fillId="0" borderId="0" xfId="0" applyNumberFormat="1" applyFont="1" applyFill="1" applyBorder="1"/>
    <xf numFmtId="9" fontId="12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/>
    <xf numFmtId="43" fontId="58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9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/>
    <xf numFmtId="173" fontId="4" fillId="0" borderId="0" xfId="0" applyNumberFormat="1" applyFont="1" applyFill="1" applyBorder="1"/>
    <xf numFmtId="173" fontId="4" fillId="0" borderId="14" xfId="0" applyNumberFormat="1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12" xfId="0" applyFont="1" applyFill="1" applyBorder="1"/>
    <xf numFmtId="9" fontId="12" fillId="0" borderId="12" xfId="0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9" fontId="12" fillId="0" borderId="0" xfId="0" applyNumberFormat="1" applyFont="1" applyFill="1" applyAlignment="1">
      <alignment horizontal="center"/>
    </xf>
    <xf numFmtId="0" fontId="40" fillId="0" borderId="17" xfId="186" applyNumberFormat="1" applyFont="1" applyFill="1" applyBorder="1" applyAlignment="1" applyProtection="1">
      <alignment vertical="center"/>
      <protection locked="0"/>
    </xf>
    <xf numFmtId="0" fontId="40" fillId="0" borderId="0" xfId="186" applyNumberFormat="1" applyFont="1" applyFill="1" applyBorder="1" applyAlignment="1" applyProtection="1">
      <alignment vertical="center"/>
      <protection locked="0"/>
    </xf>
    <xf numFmtId="0" fontId="12" fillId="0" borderId="25" xfId="0" applyFont="1" applyFill="1" applyBorder="1" applyAlignment="1">
      <alignment horizontal="center" vertical="center"/>
    </xf>
    <xf numFmtId="0" fontId="12" fillId="0" borderId="11" xfId="0" applyFont="1" applyFill="1" applyBorder="1"/>
    <xf numFmtId="9" fontId="12" fillId="0" borderId="11" xfId="0" applyNumberFormat="1" applyFont="1" applyFill="1" applyBorder="1" applyAlignment="1">
      <alignment horizontal="center"/>
    </xf>
    <xf numFmtId="0" fontId="12" fillId="0" borderId="13" xfId="0" applyFont="1" applyFill="1" applyBorder="1"/>
    <xf numFmtId="173" fontId="64" fillId="0" borderId="0" xfId="220" applyFont="1" applyBorder="1" applyAlignment="1">
      <alignment vertical="center"/>
    </xf>
    <xf numFmtId="49" fontId="63" fillId="0" borderId="0" xfId="136" applyNumberFormat="1" applyFont="1" applyFill="1" applyBorder="1" applyAlignment="1" applyProtection="1">
      <alignment wrapText="1"/>
      <protection locked="0"/>
    </xf>
    <xf numFmtId="0" fontId="55" fillId="0" borderId="0" xfId="0" applyFont="1" applyFill="1" applyAlignment="1">
      <alignment horizontal="center" vertical="center"/>
    </xf>
    <xf numFmtId="0" fontId="86" fillId="24" borderId="0" xfId="154" applyFont="1" applyFill="1" applyBorder="1" applyAlignment="1">
      <alignment vertical="center"/>
    </xf>
    <xf numFmtId="0" fontId="86" fillId="24" borderId="25" xfId="154" applyFont="1" applyFill="1" applyBorder="1" applyAlignment="1">
      <alignment vertical="center"/>
    </xf>
    <xf numFmtId="0" fontId="87" fillId="24" borderId="13" xfId="154" applyFont="1" applyFill="1" applyBorder="1" applyAlignment="1">
      <alignment vertical="center"/>
    </xf>
    <xf numFmtId="0" fontId="87" fillId="0" borderId="0" xfId="154" applyFont="1" applyFill="1" applyBorder="1" applyAlignment="1">
      <alignment horizontal="left" vertical="center"/>
    </xf>
    <xf numFmtId="0" fontId="87" fillId="0" borderId="0" xfId="154" applyFont="1" applyFill="1" applyBorder="1" applyAlignment="1">
      <alignment vertical="center"/>
    </xf>
    <xf numFmtId="0" fontId="66" fillId="0" borderId="0" xfId="154" applyFont="1" applyFill="1" applyBorder="1" applyAlignment="1">
      <alignment vertical="center"/>
    </xf>
    <xf numFmtId="0" fontId="67" fillId="0" borderId="0" xfId="154" applyFont="1" applyFill="1" applyBorder="1" applyAlignment="1">
      <alignment horizontal="right" vertical="center"/>
    </xf>
    <xf numFmtId="0" fontId="67" fillId="0" borderId="0" xfId="154" applyFont="1" applyFill="1" applyBorder="1" applyAlignment="1">
      <alignment horizontal="left" vertical="center"/>
    </xf>
    <xf numFmtId="0" fontId="87" fillId="0" borderId="0" xfId="154" applyFont="1" applyFill="1" applyAlignment="1">
      <alignment vertical="center"/>
    </xf>
    <xf numFmtId="0" fontId="2" fillId="0" borderId="0" xfId="154" applyFont="1" applyFill="1" applyAlignment="1">
      <alignment vertical="center"/>
    </xf>
    <xf numFmtId="0" fontId="87" fillId="24" borderId="0" xfId="154" applyFont="1" applyFill="1" applyAlignment="1">
      <alignment vertical="center"/>
    </xf>
    <xf numFmtId="0" fontId="86" fillId="24" borderId="17" xfId="154" applyFont="1" applyFill="1" applyBorder="1" applyAlignment="1">
      <alignment vertical="center"/>
    </xf>
    <xf numFmtId="0" fontId="87" fillId="24" borderId="14" xfId="154" applyFont="1" applyFill="1" applyBorder="1" applyAlignment="1">
      <alignment vertical="center"/>
    </xf>
    <xf numFmtId="0" fontId="46" fillId="27" borderId="17" xfId="154" applyFont="1" applyFill="1" applyBorder="1" applyAlignment="1">
      <alignment vertical="center"/>
    </xf>
    <xf numFmtId="0" fontId="53" fillId="27" borderId="0" xfId="154" applyFont="1" applyFill="1" applyBorder="1" applyAlignment="1">
      <alignment vertical="center"/>
    </xf>
    <xf numFmtId="0" fontId="53" fillId="27" borderId="14" xfId="154" applyFont="1" applyFill="1" applyBorder="1" applyAlignment="1">
      <alignment horizontal="left" vertical="center"/>
    </xf>
    <xf numFmtId="0" fontId="87" fillId="24" borderId="0" xfId="154" applyFont="1" applyFill="1" applyBorder="1" applyAlignment="1">
      <alignment vertical="center"/>
    </xf>
    <xf numFmtId="0" fontId="87" fillId="24" borderId="17" xfId="154" applyFont="1" applyFill="1" applyBorder="1" applyAlignment="1">
      <alignment vertical="center"/>
    </xf>
    <xf numFmtId="14" fontId="2" fillId="27" borderId="26" xfId="154" quotePrefix="1" applyNumberFormat="1" applyFont="1" applyFill="1" applyBorder="1" applyAlignment="1">
      <alignment horizontal="center" vertical="center"/>
    </xf>
    <xf numFmtId="0" fontId="88" fillId="24" borderId="0" xfId="154" applyFont="1" applyFill="1" applyBorder="1" applyAlignment="1">
      <alignment vertical="center"/>
    </xf>
    <xf numFmtId="0" fontId="88" fillId="24" borderId="17" xfId="154" applyFont="1" applyFill="1" applyBorder="1" applyAlignment="1">
      <alignment vertical="center"/>
    </xf>
    <xf numFmtId="0" fontId="69" fillId="24" borderId="14" xfId="154" applyFont="1" applyFill="1" applyBorder="1" applyAlignment="1">
      <alignment vertical="center"/>
    </xf>
    <xf numFmtId="0" fontId="46" fillId="0" borderId="0" xfId="154" applyFont="1" applyFill="1" applyBorder="1" applyAlignment="1">
      <alignment horizontal="right" vertical="center"/>
    </xf>
    <xf numFmtId="0" fontId="71" fillId="0" borderId="0" xfId="154" applyFont="1" applyFill="1" applyBorder="1" applyAlignment="1">
      <alignment horizontal="right" vertical="center"/>
    </xf>
    <xf numFmtId="4" fontId="72" fillId="0" borderId="0" xfId="154" applyNumberFormat="1" applyFont="1" applyFill="1" applyBorder="1" applyAlignment="1">
      <alignment horizontal="right" vertical="center"/>
    </xf>
    <xf numFmtId="49" fontId="2" fillId="0" borderId="0" xfId="154" applyNumberFormat="1" applyFont="1" applyFill="1" applyBorder="1" applyAlignment="1">
      <alignment vertical="center"/>
    </xf>
    <xf numFmtId="49" fontId="87" fillId="0" borderId="0" xfId="154" applyNumberFormat="1" applyFont="1" applyFill="1" applyBorder="1" applyAlignment="1">
      <alignment vertical="center"/>
    </xf>
    <xf numFmtId="49" fontId="46" fillId="0" borderId="0" xfId="154" applyNumberFormat="1" applyFont="1" applyFill="1" applyBorder="1" applyAlignment="1">
      <alignment horizontal="left" vertical="center"/>
    </xf>
    <xf numFmtId="49" fontId="46" fillId="0" borderId="0" xfId="154" applyNumberFormat="1" applyFont="1" applyFill="1" applyBorder="1" applyAlignment="1">
      <alignment horizontal="center" vertical="center"/>
    </xf>
    <xf numFmtId="0" fontId="46" fillId="0" borderId="0" xfId="154" applyFont="1" applyFill="1" applyBorder="1" applyAlignment="1">
      <alignment horizontal="center" vertical="center"/>
    </xf>
    <xf numFmtId="4" fontId="73" fillId="0" borderId="0" xfId="154" applyNumberFormat="1" applyFont="1" applyFill="1" applyBorder="1" applyAlignment="1">
      <alignment vertical="center"/>
    </xf>
    <xf numFmtId="0" fontId="46" fillId="27" borderId="27" xfId="154" applyFont="1" applyFill="1" applyBorder="1" applyAlignment="1">
      <alignment vertical="center"/>
    </xf>
    <xf numFmtId="0" fontId="2" fillId="27" borderId="28" xfId="154" applyFont="1" applyFill="1" applyBorder="1" applyAlignment="1">
      <alignment vertical="center"/>
    </xf>
    <xf numFmtId="0" fontId="89" fillId="24" borderId="0" xfId="154" applyFont="1" applyFill="1" applyBorder="1" applyAlignment="1">
      <alignment vertical="center"/>
    </xf>
    <xf numFmtId="0" fontId="89" fillId="24" borderId="24" xfId="154" applyFont="1" applyFill="1" applyBorder="1" applyAlignment="1">
      <alignment vertical="center"/>
    </xf>
    <xf numFmtId="0" fontId="69" fillId="24" borderId="15" xfId="154" applyFont="1" applyFill="1" applyBorder="1" applyAlignment="1">
      <alignment vertical="center"/>
    </xf>
    <xf numFmtId="49" fontId="2" fillId="0" borderId="0" xfId="154" applyNumberFormat="1" applyFont="1" applyFill="1" applyBorder="1" applyAlignment="1">
      <alignment horizontal="left" vertical="center"/>
    </xf>
    <xf numFmtId="49" fontId="2" fillId="0" borderId="0" xfId="154" applyNumberFormat="1" applyFont="1" applyFill="1" applyBorder="1" applyAlignment="1">
      <alignment horizontal="center" vertical="center"/>
    </xf>
    <xf numFmtId="0" fontId="87" fillId="0" borderId="0" xfId="154" applyFont="1" applyFill="1" applyBorder="1" applyAlignment="1">
      <alignment horizontal="center" vertical="center"/>
    </xf>
    <xf numFmtId="4" fontId="74" fillId="0" borderId="0" xfId="154" applyNumberFormat="1" applyFont="1" applyFill="1" applyBorder="1" applyAlignment="1">
      <alignment vertical="center"/>
    </xf>
    <xf numFmtId="4" fontId="90" fillId="0" borderId="0" xfId="154" applyNumberFormat="1" applyFont="1"/>
    <xf numFmtId="0" fontId="90" fillId="0" borderId="0" xfId="154" applyFont="1"/>
    <xf numFmtId="0" fontId="87" fillId="0" borderId="0" xfId="154" applyFont="1"/>
    <xf numFmtId="49" fontId="91" fillId="24" borderId="17" xfId="154" applyNumberFormat="1" applyFont="1" applyFill="1" applyBorder="1" applyAlignment="1">
      <alignment horizontal="center" vertical="center"/>
    </xf>
    <xf numFmtId="49" fontId="91" fillId="24" borderId="0" xfId="154" applyNumberFormat="1" applyFont="1" applyFill="1" applyBorder="1" applyAlignment="1">
      <alignment horizontal="center" vertical="center"/>
    </xf>
    <xf numFmtId="0" fontId="87" fillId="0" borderId="0" xfId="154" applyFont="1" applyBorder="1"/>
    <xf numFmtId="0" fontId="87" fillId="0" borderId="14" xfId="154" applyFont="1" applyBorder="1"/>
    <xf numFmtId="0" fontId="71" fillId="24" borderId="0" xfId="154" applyFont="1" applyFill="1" applyBorder="1" applyAlignment="1">
      <alignment horizontal="center" vertical="center"/>
    </xf>
    <xf numFmtId="0" fontId="43" fillId="0" borderId="0" xfId="117" applyFont="1" applyBorder="1"/>
    <xf numFmtId="0" fontId="71" fillId="0" borderId="29" xfId="154" applyFont="1" applyFill="1" applyBorder="1" applyAlignment="1">
      <alignment horizontal="center" vertical="center"/>
    </xf>
    <xf numFmtId="0" fontId="71" fillId="0" borderId="22" xfId="154" applyFont="1" applyFill="1" applyBorder="1" applyAlignment="1">
      <alignment horizontal="center" vertical="center"/>
    </xf>
    <xf numFmtId="0" fontId="2" fillId="0" borderId="0" xfId="154" applyFont="1" applyBorder="1" applyAlignment="1">
      <alignment vertical="center"/>
    </xf>
    <xf numFmtId="173" fontId="46" fillId="0" borderId="30" xfId="154" applyNumberFormat="1" applyFont="1" applyFill="1" applyBorder="1" applyAlignment="1">
      <alignment horizontal="center" vertical="center" wrapText="1"/>
    </xf>
    <xf numFmtId="0" fontId="46" fillId="0" borderId="0" xfId="154" applyFont="1" applyFill="1" applyBorder="1" applyAlignment="1">
      <alignment horizontal="justify" vertical="center" wrapText="1"/>
    </xf>
    <xf numFmtId="0" fontId="46" fillId="0" borderId="30" xfId="154" applyFont="1" applyFill="1" applyBorder="1" applyAlignment="1">
      <alignment horizontal="justify" vertical="center" wrapText="1"/>
    </xf>
    <xf numFmtId="0" fontId="87" fillId="0" borderId="31" xfId="154" applyFont="1" applyBorder="1"/>
    <xf numFmtId="0" fontId="2" fillId="0" borderId="18" xfId="154" applyFont="1" applyBorder="1" applyAlignment="1">
      <alignment horizontal="center" vertical="center"/>
    </xf>
    <xf numFmtId="0" fontId="2" fillId="0" borderId="10" xfId="154" applyFont="1" applyFill="1" applyBorder="1" applyAlignment="1">
      <alignment vertical="center"/>
    </xf>
    <xf numFmtId="10" fontId="2" fillId="28" borderId="16" xfId="259" applyNumberFormat="1" applyFont="1" applyFill="1" applyBorder="1" applyAlignment="1" applyProtection="1">
      <alignment horizontal="center" vertical="center"/>
      <protection locked="0"/>
    </xf>
    <xf numFmtId="10" fontId="2" fillId="0" borderId="0" xfId="259" applyNumberFormat="1" applyFont="1" applyBorder="1" applyAlignment="1">
      <alignment horizontal="center" vertical="center"/>
    </xf>
    <xf numFmtId="10" fontId="2" fillId="0" borderId="18" xfId="259" applyNumberFormat="1" applyFont="1" applyBorder="1" applyAlignment="1">
      <alignment horizontal="center" vertical="center"/>
    </xf>
    <xf numFmtId="10" fontId="2" fillId="0" borderId="16" xfId="259" applyNumberFormat="1" applyFont="1" applyBorder="1" applyAlignment="1">
      <alignment horizontal="center" vertical="center"/>
    </xf>
    <xf numFmtId="0" fontId="2" fillId="0" borderId="0" xfId="117" applyFont="1" applyBorder="1" applyAlignment="1">
      <alignment horizontal="right"/>
    </xf>
    <xf numFmtId="174" fontId="50" fillId="0" borderId="0" xfId="220" applyNumberFormat="1" applyFont="1" applyFill="1" applyBorder="1" applyAlignment="1">
      <alignment horizontal="center"/>
    </xf>
    <xf numFmtId="10" fontId="46" fillId="0" borderId="22" xfId="259" applyNumberFormat="1" applyFont="1" applyBorder="1" applyAlignment="1">
      <alignment horizontal="center" vertical="center"/>
    </xf>
    <xf numFmtId="10" fontId="46" fillId="0" borderId="0" xfId="259" applyNumberFormat="1" applyFont="1" applyBorder="1" applyAlignment="1">
      <alignment horizontal="center" vertical="center"/>
    </xf>
    <xf numFmtId="10" fontId="2" fillId="0" borderId="29" xfId="259" applyNumberFormat="1" applyFont="1" applyBorder="1" applyAlignment="1">
      <alignment horizontal="center" vertical="center"/>
    </xf>
    <xf numFmtId="10" fontId="2" fillId="0" borderId="22" xfId="259" applyNumberFormat="1" applyFont="1" applyBorder="1" applyAlignment="1">
      <alignment horizontal="center" vertical="center"/>
    </xf>
    <xf numFmtId="0" fontId="2" fillId="0" borderId="0" xfId="154" applyFont="1" applyBorder="1" applyAlignment="1">
      <alignment horizontal="center" vertical="center"/>
    </xf>
    <xf numFmtId="10" fontId="2" fillId="0" borderId="14" xfId="259" applyNumberFormat="1" applyFont="1" applyBorder="1" applyAlignment="1">
      <alignment horizontal="center" vertical="center"/>
    </xf>
    <xf numFmtId="4" fontId="44" fillId="0" borderId="0" xfId="169" applyNumberFormat="1" applyFont="1" applyFill="1" applyBorder="1" applyAlignment="1">
      <alignment horizontal="center"/>
    </xf>
    <xf numFmtId="10" fontId="2" fillId="0" borderId="30" xfId="259" applyNumberFormat="1" applyFont="1" applyBorder="1" applyAlignment="1">
      <alignment horizontal="center" vertical="center"/>
    </xf>
    <xf numFmtId="10" fontId="2" fillId="0" borderId="31" xfId="259" applyNumberFormat="1" applyFont="1" applyBorder="1" applyAlignment="1">
      <alignment horizontal="center" vertical="center"/>
    </xf>
    <xf numFmtId="10" fontId="44" fillId="0" borderId="0" xfId="169" applyNumberFormat="1" applyFont="1" applyFill="1" applyBorder="1" applyAlignment="1">
      <alignment horizontal="center"/>
    </xf>
    <xf numFmtId="0" fontId="43" fillId="0" borderId="0" xfId="117" applyFont="1" applyBorder="1" applyAlignment="1">
      <alignment vertical="justify"/>
    </xf>
    <xf numFmtId="0" fontId="2" fillId="0" borderId="32" xfId="154" applyFont="1" applyBorder="1" applyAlignment="1">
      <alignment horizontal="center" vertical="center"/>
    </xf>
    <xf numFmtId="10" fontId="46" fillId="0" borderId="0" xfId="259" applyNumberFormat="1" applyFont="1" applyBorder="1" applyAlignment="1">
      <alignment horizontal="center" vertical="center" wrapText="1"/>
    </xf>
    <xf numFmtId="176" fontId="45" fillId="0" borderId="0" xfId="117" applyNumberFormat="1" applyFont="1" applyBorder="1" applyAlignment="1">
      <alignment horizontal="right"/>
    </xf>
    <xf numFmtId="10" fontId="43" fillId="0" borderId="0" xfId="169" applyNumberFormat="1" applyFont="1" applyFill="1" applyBorder="1" applyAlignment="1">
      <alignment horizontal="center"/>
    </xf>
    <xf numFmtId="10" fontId="2" fillId="0" borderId="33" xfId="259" applyNumberFormat="1" applyFont="1" applyBorder="1" applyAlignment="1">
      <alignment horizontal="center" vertical="center"/>
    </xf>
    <xf numFmtId="10" fontId="2" fillId="0" borderId="26" xfId="259" applyNumberFormat="1" applyFont="1" applyBorder="1" applyAlignment="1">
      <alignment horizontal="center" vertical="center"/>
    </xf>
    <xf numFmtId="0" fontId="7" fillId="0" borderId="0" xfId="117" applyFont="1" applyBorder="1" applyAlignment="1">
      <alignment vertical="distributed" wrapText="1"/>
    </xf>
    <xf numFmtId="173" fontId="7" fillId="0" borderId="0" xfId="220" applyFont="1" applyBorder="1" applyAlignment="1">
      <alignment horizontal="center"/>
    </xf>
    <xf numFmtId="4" fontId="7" fillId="0" borderId="0" xfId="220" applyNumberFormat="1" applyFont="1" applyBorder="1" applyAlignment="1">
      <alignment horizontal="center"/>
    </xf>
    <xf numFmtId="173" fontId="7" fillId="0" borderId="0" xfId="220" applyFont="1" applyBorder="1" applyAlignment="1"/>
    <xf numFmtId="0" fontId="2" fillId="0" borderId="34" xfId="154" applyFont="1" applyFill="1" applyBorder="1" applyAlignment="1">
      <alignment vertical="center"/>
    </xf>
    <xf numFmtId="10" fontId="2" fillId="28" borderId="35" xfId="259" applyNumberFormat="1" applyFont="1" applyFill="1" applyBorder="1" applyAlignment="1" applyProtection="1">
      <alignment horizontal="center" vertical="center"/>
      <protection locked="0"/>
    </xf>
    <xf numFmtId="0" fontId="2" fillId="0" borderId="17" xfId="154" applyFont="1" applyFill="1" applyBorder="1" applyAlignment="1">
      <alignment horizontal="center" vertical="center"/>
    </xf>
    <xf numFmtId="0" fontId="2" fillId="0" borderId="0" xfId="154" applyFont="1" applyFill="1" applyBorder="1" applyAlignment="1">
      <alignment horizontal="center" vertical="center"/>
    </xf>
    <xf numFmtId="173" fontId="46" fillId="0" borderId="17" xfId="154" applyNumberFormat="1" applyFont="1" applyFill="1" applyBorder="1" applyAlignment="1">
      <alignment horizontal="center" vertical="center" wrapText="1"/>
    </xf>
    <xf numFmtId="173" fontId="2" fillId="0" borderId="0" xfId="154" applyNumberFormat="1" applyFont="1" applyBorder="1" applyAlignment="1">
      <alignment vertical="center"/>
    </xf>
    <xf numFmtId="0" fontId="2" fillId="0" borderId="17" xfId="154" applyFont="1" applyFill="1" applyBorder="1" applyAlignment="1">
      <alignment horizontal="right" vertical="center"/>
    </xf>
    <xf numFmtId="0" fontId="2" fillId="0" borderId="0" xfId="154" applyFont="1" applyFill="1" applyBorder="1" applyAlignment="1">
      <alignment horizontal="right" vertical="center"/>
    </xf>
    <xf numFmtId="172" fontId="76" fillId="0" borderId="0" xfId="259" applyNumberFormat="1" applyFont="1" applyBorder="1" applyAlignment="1">
      <alignment vertical="center"/>
    </xf>
    <xf numFmtId="10" fontId="45" fillId="0" borderId="0" xfId="154" applyNumberFormat="1" applyFont="1" applyFill="1" applyBorder="1" applyAlignment="1">
      <alignment vertical="center"/>
    </xf>
    <xf numFmtId="10" fontId="2" fillId="0" borderId="26" xfId="154" applyNumberFormat="1" applyFont="1" applyFill="1" applyBorder="1" applyAlignment="1">
      <alignment horizontal="center" vertical="center"/>
    </xf>
    <xf numFmtId="10" fontId="45" fillId="0" borderId="12" xfId="154" applyNumberFormat="1" applyFont="1" applyFill="1" applyBorder="1" applyAlignment="1">
      <alignment vertical="center"/>
    </xf>
    <xf numFmtId="0" fontId="87" fillId="0" borderId="12" xfId="154" applyFont="1" applyBorder="1"/>
    <xf numFmtId="0" fontId="87" fillId="0" borderId="15" xfId="154" applyFont="1" applyBorder="1"/>
    <xf numFmtId="0" fontId="92" fillId="28" borderId="0" xfId="154" applyFont="1" applyFill="1" applyAlignment="1">
      <alignment horizontal="center" vertical="center"/>
    </xf>
    <xf numFmtId="0" fontId="93" fillId="0" borderId="0" xfId="154" applyFont="1"/>
    <xf numFmtId="0" fontId="87" fillId="0" borderId="0" xfId="154" applyFont="1" applyAlignment="1">
      <alignment horizontal="center" vertical="center"/>
    </xf>
    <xf numFmtId="10" fontId="87" fillId="0" borderId="0" xfId="154" applyNumberFormat="1" applyFont="1"/>
    <xf numFmtId="49" fontId="94" fillId="0" borderId="0" xfId="154" applyNumberFormat="1" applyFont="1" applyFill="1" applyBorder="1" applyAlignment="1">
      <alignment vertical="center" wrapText="1"/>
    </xf>
    <xf numFmtId="49" fontId="94" fillId="0" borderId="14" xfId="154" applyNumberFormat="1" applyFont="1" applyFill="1" applyBorder="1" applyAlignment="1">
      <alignment vertical="center" wrapText="1"/>
    </xf>
    <xf numFmtId="10" fontId="68" fillId="0" borderId="0" xfId="259" applyNumberFormat="1" applyFont="1" applyFill="1" applyBorder="1" applyAlignment="1">
      <alignment vertical="center" wrapText="1"/>
    </xf>
    <xf numFmtId="0" fontId="95" fillId="0" borderId="0" xfId="154" applyFont="1" applyFill="1" applyBorder="1" applyAlignment="1">
      <alignment vertical="center" wrapText="1"/>
    </xf>
    <xf numFmtId="0" fontId="95" fillId="0" borderId="14" xfId="154" applyFont="1" applyFill="1" applyBorder="1" applyAlignment="1">
      <alignment vertical="center" wrapText="1"/>
    </xf>
    <xf numFmtId="10" fontId="2" fillId="0" borderId="0" xfId="259" applyNumberFormat="1" applyFont="1" applyBorder="1" applyAlignment="1">
      <alignment vertical="center"/>
    </xf>
    <xf numFmtId="0" fontId="78" fillId="0" borderId="0" xfId="117" applyFont="1" applyAlignment="1"/>
    <xf numFmtId="173" fontId="0" fillId="0" borderId="0" xfId="220" applyFont="1"/>
    <xf numFmtId="49" fontId="79" fillId="0" borderId="0" xfId="127" applyNumberFormat="1" applyFont="1" applyFill="1" applyBorder="1" applyAlignment="1" applyProtection="1">
      <alignment horizontal="center" vertical="center" wrapText="1"/>
      <protection locked="0"/>
    </xf>
    <xf numFmtId="182" fontId="79" fillId="0" borderId="0" xfId="127" applyNumberFormat="1" applyFont="1" applyFill="1" applyBorder="1" applyAlignment="1" applyProtection="1">
      <alignment horizontal="center" vertical="center" wrapText="1"/>
      <protection locked="0"/>
    </xf>
    <xf numFmtId="4" fontId="85" fillId="0" borderId="0" xfId="220" applyNumberFormat="1" applyFont="1" applyFill="1" applyBorder="1" applyAlignment="1">
      <alignment horizontal="right"/>
    </xf>
    <xf numFmtId="0" fontId="35" fillId="0" borderId="34" xfId="117" applyFont="1" applyFill="1" applyBorder="1" applyAlignment="1">
      <alignment vertical="distributed" wrapText="1"/>
    </xf>
    <xf numFmtId="173" fontId="35" fillId="0" borderId="34" xfId="220" applyFont="1" applyFill="1" applyBorder="1" applyAlignment="1">
      <alignment horizontal="center"/>
    </xf>
    <xf numFmtId="4" fontId="35" fillId="0" borderId="34" xfId="220" applyNumberFormat="1" applyFont="1" applyFill="1" applyBorder="1" applyAlignment="1">
      <alignment horizontal="right"/>
    </xf>
    <xf numFmtId="4" fontId="35" fillId="24" borderId="10" xfId="220" applyNumberFormat="1" applyFont="1" applyFill="1" applyBorder="1" applyAlignment="1">
      <alignment horizontal="right"/>
    </xf>
    <xf numFmtId="172" fontId="6" fillId="0" borderId="0" xfId="92" applyFont="1" applyAlignment="1">
      <alignment vertical="center"/>
    </xf>
    <xf numFmtId="172" fontId="38" fillId="0" borderId="36" xfId="92" applyFont="1" applyBorder="1" applyAlignment="1"/>
    <xf numFmtId="0" fontId="12" fillId="24" borderId="23" xfId="220" applyNumberFormat="1" applyFont="1" applyFill="1" applyBorder="1" applyAlignment="1">
      <alignment horizontal="right" vertical="center"/>
    </xf>
    <xf numFmtId="2" fontId="2" fillId="0" borderId="37" xfId="220" applyNumberFormat="1" applyFont="1" applyFill="1" applyBorder="1" applyAlignment="1">
      <alignment horizontal="center" vertical="center"/>
    </xf>
    <xf numFmtId="2" fontId="2" fillId="0" borderId="31" xfId="220" applyNumberFormat="1" applyFont="1" applyFill="1" applyBorder="1" applyAlignment="1">
      <alignment horizontal="center" vertical="center"/>
    </xf>
    <xf numFmtId="2" fontId="2" fillId="0" borderId="10" xfId="220" applyNumberFormat="1" applyFont="1" applyFill="1" applyBorder="1" applyAlignment="1">
      <alignment horizontal="center" vertical="center"/>
    </xf>
    <xf numFmtId="2" fontId="2" fillId="0" borderId="16" xfId="220" applyNumberFormat="1" applyFont="1" applyFill="1" applyBorder="1" applyAlignment="1">
      <alignment horizontal="center" vertical="center"/>
    </xf>
    <xf numFmtId="2" fontId="2" fillId="0" borderId="21" xfId="220" applyNumberFormat="1" applyFont="1" applyFill="1" applyBorder="1" applyAlignment="1">
      <alignment horizontal="center" vertical="center"/>
    </xf>
    <xf numFmtId="2" fontId="2" fillId="0" borderId="22" xfId="220" applyNumberFormat="1" applyFont="1" applyFill="1" applyBorder="1" applyAlignment="1">
      <alignment horizontal="center" vertical="center"/>
    </xf>
    <xf numFmtId="2" fontId="45" fillId="0" borderId="12" xfId="220" applyNumberFormat="1" applyFont="1" applyFill="1" applyBorder="1" applyAlignment="1">
      <alignment horizontal="center" vertical="center"/>
    </xf>
    <xf numFmtId="2" fontId="45" fillId="0" borderId="15" xfId="220" applyNumberFormat="1" applyFont="1" applyFill="1" applyBorder="1" applyAlignment="1">
      <alignment horizontal="center" vertical="center"/>
    </xf>
    <xf numFmtId="4" fontId="2" fillId="0" borderId="37" xfId="220" applyNumberFormat="1" applyFont="1" applyFill="1" applyBorder="1" applyAlignment="1">
      <alignment horizontal="center" vertical="center"/>
    </xf>
    <xf numFmtId="4" fontId="2" fillId="0" borderId="31" xfId="220" applyNumberFormat="1" applyFont="1" applyFill="1" applyBorder="1" applyAlignment="1">
      <alignment horizontal="center" vertical="center"/>
    </xf>
    <xf numFmtId="4" fontId="2" fillId="0" borderId="10" xfId="220" applyNumberFormat="1" applyFont="1" applyFill="1" applyBorder="1" applyAlignment="1">
      <alignment horizontal="center" vertical="center"/>
    </xf>
    <xf numFmtId="4" fontId="2" fillId="0" borderId="16" xfId="220" applyNumberFormat="1" applyFont="1" applyFill="1" applyBorder="1" applyAlignment="1">
      <alignment horizontal="center" vertical="center"/>
    </xf>
    <xf numFmtId="4" fontId="2" fillId="0" borderId="21" xfId="220" applyNumberFormat="1" applyFont="1" applyFill="1" applyBorder="1" applyAlignment="1">
      <alignment horizontal="center" vertical="center"/>
    </xf>
    <xf numFmtId="4" fontId="2" fillId="0" borderId="22" xfId="220" applyNumberFormat="1" applyFont="1" applyFill="1" applyBorder="1" applyAlignment="1">
      <alignment horizontal="center" vertical="center"/>
    </xf>
    <xf numFmtId="4" fontId="45" fillId="0" borderId="12" xfId="220" applyNumberFormat="1" applyFont="1" applyFill="1" applyBorder="1" applyAlignment="1">
      <alignment horizontal="center" vertical="center"/>
    </xf>
    <xf numFmtId="4" fontId="45" fillId="0" borderId="15" xfId="220" applyNumberFormat="1" applyFont="1" applyFill="1" applyBorder="1" applyAlignment="1">
      <alignment horizontal="center" vertical="center"/>
    </xf>
    <xf numFmtId="0" fontId="45" fillId="0" borderId="17" xfId="117" applyFont="1" applyFill="1" applyBorder="1" applyAlignment="1">
      <alignment horizontal="center"/>
    </xf>
    <xf numFmtId="0" fontId="45" fillId="0" borderId="0" xfId="117" applyFont="1" applyFill="1" applyBorder="1" applyAlignment="1">
      <alignment horizontal="center"/>
    </xf>
    <xf numFmtId="4" fontId="45" fillId="0" borderId="0" xfId="220" applyNumberFormat="1" applyFont="1" applyFill="1" applyBorder="1" applyAlignment="1">
      <alignment horizontal="center" vertical="center"/>
    </xf>
    <xf numFmtId="4" fontId="45" fillId="0" borderId="14" xfId="220" applyNumberFormat="1" applyFont="1" applyFill="1" applyBorder="1" applyAlignment="1">
      <alignment horizontal="center" vertical="center"/>
    </xf>
    <xf numFmtId="4" fontId="45" fillId="0" borderId="38" xfId="220" applyNumberFormat="1" applyFont="1" applyFill="1" applyBorder="1" applyAlignment="1">
      <alignment horizontal="center" vertical="center"/>
    </xf>
    <xf numFmtId="4" fontId="45" fillId="0" borderId="28" xfId="220" applyNumberFormat="1" applyFont="1" applyFill="1" applyBorder="1" applyAlignment="1">
      <alignment horizontal="center" vertical="center"/>
    </xf>
    <xf numFmtId="49" fontId="46" fillId="27" borderId="26" xfId="154" applyNumberFormat="1" applyFont="1" applyFill="1" applyBorder="1" applyAlignment="1">
      <alignment horizontal="center" vertical="center"/>
    </xf>
    <xf numFmtId="49" fontId="2" fillId="27" borderId="26" xfId="154" applyNumberFormat="1" applyFont="1" applyFill="1" applyBorder="1" applyAlignment="1">
      <alignment horizontal="center" vertical="center"/>
    </xf>
    <xf numFmtId="173" fontId="35" fillId="0" borderId="39" xfId="220" applyFont="1" applyFill="1" applyBorder="1" applyAlignment="1">
      <alignment horizontal="center"/>
    </xf>
    <xf numFmtId="4" fontId="35" fillId="0" borderId="39" xfId="220" applyNumberFormat="1" applyFont="1" applyFill="1" applyBorder="1" applyAlignment="1">
      <alignment horizontal="right"/>
    </xf>
    <xf numFmtId="0" fontId="10" fillId="0" borderId="40" xfId="220" applyNumberFormat="1" applyFont="1" applyFill="1" applyBorder="1" applyAlignment="1">
      <alignment horizontal="center" vertical="center"/>
    </xf>
    <xf numFmtId="4" fontId="35" fillId="0" borderId="41" xfId="220" applyNumberFormat="1" applyFont="1" applyFill="1" applyBorder="1" applyAlignment="1">
      <alignment horizontal="right"/>
    </xf>
    <xf numFmtId="4" fontId="35" fillId="0" borderId="35" xfId="220" applyNumberFormat="1" applyFont="1" applyFill="1" applyBorder="1" applyAlignment="1">
      <alignment horizontal="right"/>
    </xf>
    <xf numFmtId="0" fontId="35" fillId="24" borderId="34" xfId="117" applyFont="1" applyFill="1" applyBorder="1" applyAlignment="1">
      <alignment vertical="distributed" wrapText="1"/>
    </xf>
    <xf numFmtId="0" fontId="34" fillId="0" borderId="39" xfId="117" applyFont="1" applyFill="1" applyBorder="1" applyAlignment="1">
      <alignment vertical="distributed"/>
    </xf>
    <xf numFmtId="0" fontId="35" fillId="0" borderId="34" xfId="0" applyFont="1" applyFill="1" applyBorder="1" applyAlignment="1">
      <alignment vertical="distributed" wrapText="1"/>
    </xf>
    <xf numFmtId="4" fontId="35" fillId="24" borderId="34" xfId="220" applyNumberFormat="1" applyFont="1" applyFill="1" applyBorder="1" applyAlignment="1">
      <alignment horizontal="right"/>
    </xf>
    <xf numFmtId="0" fontId="36" fillId="25" borderId="33" xfId="0" applyFont="1" applyFill="1" applyBorder="1" applyAlignment="1">
      <alignment horizontal="center" vertical="center"/>
    </xf>
    <xf numFmtId="0" fontId="5" fillId="25" borderId="42" xfId="0" applyFont="1" applyFill="1" applyBorder="1"/>
    <xf numFmtId="173" fontId="5" fillId="25" borderId="42" xfId="220" applyFont="1" applyFill="1" applyBorder="1" applyAlignment="1">
      <alignment horizontal="center" vertical="center"/>
    </xf>
    <xf numFmtId="4" fontId="5" fillId="25" borderId="42" xfId="220" applyNumberFormat="1" applyFont="1" applyFill="1" applyBorder="1" applyAlignment="1">
      <alignment horizontal="center"/>
    </xf>
    <xf numFmtId="173" fontId="5" fillId="25" borderId="42" xfId="220" applyFont="1" applyFill="1" applyBorder="1" applyAlignment="1">
      <alignment horizontal="right"/>
    </xf>
    <xf numFmtId="10" fontId="36" fillId="25" borderId="42" xfId="0" applyNumberFormat="1" applyFont="1" applyFill="1" applyBorder="1" applyAlignment="1">
      <alignment horizontal="center"/>
    </xf>
    <xf numFmtId="172" fontId="38" fillId="25" borderId="26" xfId="92" applyFont="1" applyFill="1" applyBorder="1"/>
    <xf numFmtId="49" fontId="5" fillId="0" borderId="0" xfId="136" applyNumberFormat="1" applyFont="1" applyFill="1" applyBorder="1" applyAlignment="1" applyProtection="1">
      <alignment horizontal="center" wrapText="1"/>
      <protection locked="0"/>
    </xf>
    <xf numFmtId="173" fontId="49" fillId="0" borderId="39" xfId="220" applyFont="1" applyFill="1" applyBorder="1" applyAlignment="1">
      <alignment horizontal="center"/>
    </xf>
    <xf numFmtId="4" fontId="34" fillId="0" borderId="10" xfId="220" applyNumberFormat="1" applyFont="1" applyFill="1" applyBorder="1" applyAlignment="1">
      <alignment horizontal="right" wrapText="1"/>
    </xf>
    <xf numFmtId="49" fontId="37" fillId="0" borderId="10" xfId="220" applyNumberFormat="1" applyFont="1" applyFill="1" applyBorder="1" applyAlignment="1">
      <alignment horizontal="center" vertical="center"/>
    </xf>
    <xf numFmtId="0" fontId="34" fillId="0" borderId="34" xfId="117" applyFont="1" applyFill="1" applyBorder="1" applyAlignment="1">
      <alignment vertical="distributed" wrapText="1"/>
    </xf>
    <xf numFmtId="39" fontId="5" fillId="0" borderId="0" xfId="94" applyNumberFormat="1" applyFont="1" applyFill="1" applyBorder="1" applyAlignment="1" applyProtection="1">
      <alignment wrapText="1"/>
      <protection locked="0"/>
    </xf>
    <xf numFmtId="0" fontId="12" fillId="25" borderId="27" xfId="0" applyFont="1" applyFill="1" applyBorder="1" applyAlignment="1">
      <alignment horizontal="center" vertical="center"/>
    </xf>
    <xf numFmtId="0" fontId="12" fillId="25" borderId="38" xfId="0" applyFont="1" applyFill="1" applyBorder="1"/>
    <xf numFmtId="173" fontId="12" fillId="25" borderId="38" xfId="220" applyFont="1" applyFill="1" applyBorder="1" applyAlignment="1">
      <alignment horizontal="center" vertical="center"/>
    </xf>
    <xf numFmtId="4" fontId="12" fillId="25" borderId="38" xfId="220" applyNumberFormat="1" applyFont="1" applyFill="1" applyBorder="1" applyAlignment="1">
      <alignment horizontal="center"/>
    </xf>
    <xf numFmtId="173" fontId="12" fillId="25" borderId="38" xfId="220" applyFont="1" applyFill="1" applyBorder="1" applyAlignment="1">
      <alignment horizontal="right"/>
    </xf>
    <xf numFmtId="9" fontId="12" fillId="25" borderId="38" xfId="0" applyNumberFormat="1" applyFont="1" applyFill="1" applyBorder="1" applyAlignment="1">
      <alignment horizontal="center"/>
    </xf>
    <xf numFmtId="0" fontId="12" fillId="25" borderId="28" xfId="0" applyFont="1" applyFill="1" applyBorder="1"/>
    <xf numFmtId="0" fontId="35" fillId="61" borderId="10" xfId="117" applyFont="1" applyFill="1" applyBorder="1" applyAlignment="1">
      <alignment vertical="distributed" wrapText="1"/>
    </xf>
    <xf numFmtId="173" fontId="35" fillId="24" borderId="10" xfId="220" applyFont="1" applyFill="1" applyBorder="1" applyAlignment="1">
      <alignment horizontal="center"/>
    </xf>
    <xf numFmtId="0" fontId="102" fillId="0" borderId="10" xfId="158" applyFont="1" applyBorder="1" applyAlignment="1">
      <alignment horizontal="left" vertical="center" wrapText="1"/>
    </xf>
    <xf numFmtId="0" fontId="102" fillId="0" borderId="10" xfId="158" applyFont="1" applyBorder="1" applyAlignment="1">
      <alignment horizontal="center" vertical="center" wrapText="1"/>
    </xf>
    <xf numFmtId="2" fontId="102" fillId="0" borderId="10" xfId="158" applyNumberFormat="1" applyFont="1" applyBorder="1" applyAlignment="1">
      <alignment horizontal="center" vertical="center" wrapText="1"/>
    </xf>
    <xf numFmtId="0" fontId="0" fillId="0" borderId="0" xfId="0" applyBorder="1"/>
    <xf numFmtId="0" fontId="35" fillId="0" borderId="39" xfId="117" applyFont="1" applyFill="1" applyBorder="1" applyAlignment="1">
      <alignment vertical="distributed"/>
    </xf>
    <xf numFmtId="4" fontId="35" fillId="24" borderId="41" xfId="220" applyNumberFormat="1" applyFont="1" applyFill="1" applyBorder="1" applyAlignment="1">
      <alignment horizontal="right"/>
    </xf>
    <xf numFmtId="0" fontId="35" fillId="0" borderId="34" xfId="117" applyFont="1" applyFill="1" applyBorder="1" applyAlignment="1">
      <alignment vertical="distributed"/>
    </xf>
    <xf numFmtId="172" fontId="7" fillId="0" borderId="0" xfId="92" applyFont="1" applyAlignment="1">
      <alignment vertical="center"/>
    </xf>
    <xf numFmtId="0" fontId="34" fillId="61" borderId="10" xfId="117" applyFont="1" applyFill="1" applyBorder="1" applyAlignment="1">
      <alignment vertical="distributed"/>
    </xf>
    <xf numFmtId="173" fontId="49" fillId="0" borderId="10" xfId="220" applyFont="1" applyFill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/>
    </xf>
    <xf numFmtId="173" fontId="35" fillId="0" borderId="23" xfId="220" applyFont="1" applyFill="1" applyBorder="1" applyAlignment="1">
      <alignment horizontal="center"/>
    </xf>
    <xf numFmtId="173" fontId="35" fillId="24" borderId="39" xfId="220" applyFont="1" applyFill="1" applyBorder="1" applyAlignment="1">
      <alignment horizontal="center"/>
    </xf>
    <xf numFmtId="172" fontId="39" fillId="0" borderId="0" xfId="92" applyFont="1" applyAlignment="1"/>
    <xf numFmtId="173" fontId="6" fillId="0" borderId="0" xfId="117" applyNumberFormat="1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02" fillId="0" borderId="0" xfId="158" applyFont="1" applyBorder="1" applyAlignment="1">
      <alignment horizontal="center" vertical="center" wrapText="1"/>
    </xf>
    <xf numFmtId="0" fontId="102" fillId="0" borderId="0" xfId="158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5" fillId="62" borderId="33" xfId="220" applyNumberFormat="1" applyFont="1" applyFill="1" applyBorder="1" applyAlignment="1">
      <alignment horizontal="center" vertical="center" wrapText="1"/>
    </xf>
    <xf numFmtId="0" fontId="11" fillId="62" borderId="42" xfId="220" applyNumberFormat="1" applyFont="1" applyFill="1" applyBorder="1" applyAlignment="1">
      <alignment horizontal="center" vertical="center" wrapText="1"/>
    </xf>
    <xf numFmtId="0" fontId="5" fillId="62" borderId="42" xfId="117" applyFont="1" applyFill="1" applyBorder="1" applyAlignment="1">
      <alignment vertical="distributed" wrapText="1"/>
    </xf>
    <xf numFmtId="0" fontId="39" fillId="63" borderId="33" xfId="220" applyNumberFormat="1" applyFont="1" applyFill="1" applyBorder="1" applyAlignment="1">
      <alignment horizontal="center" vertical="center"/>
    </xf>
    <xf numFmtId="0" fontId="39" fillId="63" borderId="42" xfId="117" applyFont="1" applyFill="1" applyBorder="1" applyAlignment="1">
      <alignment vertical="distributed" wrapText="1"/>
    </xf>
    <xf numFmtId="173" fontId="39" fillId="63" borderId="42" xfId="220" applyFont="1" applyFill="1" applyBorder="1" applyAlignment="1">
      <alignment horizontal="center"/>
    </xf>
    <xf numFmtId="4" fontId="39" fillId="63" borderId="42" xfId="220" applyNumberFormat="1" applyFont="1" applyFill="1" applyBorder="1" applyAlignment="1">
      <alignment horizontal="right"/>
    </xf>
    <xf numFmtId="172" fontId="39" fillId="63" borderId="26" xfId="92" applyFont="1" applyFill="1" applyBorder="1" applyAlignment="1">
      <alignment horizontal="right"/>
    </xf>
    <xf numFmtId="0" fontId="38" fillId="63" borderId="42" xfId="117" applyFont="1" applyFill="1" applyBorder="1" applyAlignment="1">
      <alignment vertical="distributed" wrapText="1"/>
    </xf>
    <xf numFmtId="172" fontId="38" fillId="63" borderId="26" xfId="92" applyFont="1" applyFill="1" applyBorder="1" applyAlignment="1">
      <alignment horizontal="right"/>
    </xf>
    <xf numFmtId="0" fontId="10" fillId="0" borderId="32" xfId="220" applyNumberFormat="1" applyFont="1" applyFill="1" applyBorder="1" applyAlignment="1">
      <alignment horizontal="center" vertical="center"/>
    </xf>
    <xf numFmtId="172" fontId="7" fillId="0" borderId="0" xfId="117" applyNumberFormat="1" applyFont="1" applyAlignment="1">
      <alignment vertical="center"/>
    </xf>
    <xf numFmtId="0" fontId="103" fillId="0" borderId="0" xfId="0" applyFont="1"/>
    <xf numFmtId="0" fontId="104" fillId="0" borderId="0" xfId="117" applyFont="1" applyFill="1" applyBorder="1" applyAlignment="1">
      <alignment horizontal="center" vertical="center"/>
    </xf>
    <xf numFmtId="10" fontId="105" fillId="0" borderId="0" xfId="169" applyNumberFormat="1" applyFont="1" applyFill="1" applyBorder="1" applyAlignment="1">
      <alignment horizontal="center"/>
    </xf>
    <xf numFmtId="0" fontId="35" fillId="0" borderId="23" xfId="117" applyFont="1" applyFill="1" applyBorder="1" applyAlignment="1">
      <alignment vertical="distributed" wrapText="1"/>
    </xf>
    <xf numFmtId="4" fontId="35" fillId="0" borderId="23" xfId="220" applyNumberFormat="1" applyFont="1" applyFill="1" applyBorder="1" applyAlignment="1">
      <alignment horizontal="right"/>
    </xf>
    <xf numFmtId="0" fontId="2" fillId="0" borderId="10" xfId="117" applyFill="1" applyBorder="1" applyAlignment="1">
      <alignment horizontal="center"/>
    </xf>
    <xf numFmtId="0" fontId="2" fillId="0" borderId="21" xfId="117" applyFill="1" applyBorder="1" applyAlignment="1">
      <alignment horizontal="center"/>
    </xf>
    <xf numFmtId="0" fontId="46" fillId="0" borderId="0" xfId="117" applyFont="1"/>
    <xf numFmtId="0" fontId="2" fillId="0" borderId="0" xfId="117" applyAlignment="1">
      <alignment horizontal="right"/>
    </xf>
    <xf numFmtId="0" fontId="2" fillId="0" borderId="0" xfId="117" applyAlignment="1">
      <alignment horizontal="center"/>
    </xf>
    <xf numFmtId="0" fontId="2" fillId="0" borderId="37" xfId="117" applyFont="1" applyBorder="1" applyAlignment="1">
      <alignment horizontal="center"/>
    </xf>
    <xf numFmtId="0" fontId="2" fillId="0" borderId="31" xfId="117" applyBorder="1"/>
    <xf numFmtId="0" fontId="46" fillId="62" borderId="30" xfId="117" applyFont="1" applyFill="1" applyBorder="1" applyAlignment="1">
      <alignment horizontal="center"/>
    </xf>
    <xf numFmtId="0" fontId="46" fillId="0" borderId="37" xfId="117" applyFont="1" applyFill="1" applyBorder="1" applyAlignment="1">
      <alignment horizontal="center" wrapText="1"/>
    </xf>
    <xf numFmtId="0" fontId="46" fillId="0" borderId="43" xfId="117" applyFont="1" applyBorder="1" applyAlignment="1">
      <alignment horizontal="center"/>
    </xf>
    <xf numFmtId="0" fontId="46" fillId="0" borderId="30" xfId="117" applyFont="1" applyBorder="1" applyAlignment="1">
      <alignment horizontal="center"/>
    </xf>
    <xf numFmtId="0" fontId="46" fillId="0" borderId="37" xfId="117" applyFont="1" applyBorder="1" applyAlignment="1">
      <alignment horizontal="center" wrapText="1"/>
    </xf>
    <xf numFmtId="0" fontId="2" fillId="0" borderId="19" xfId="117" applyFill="1" applyBorder="1"/>
    <xf numFmtId="2" fontId="2" fillId="0" borderId="10" xfId="117" applyNumberFormat="1" applyFill="1" applyBorder="1" applyAlignment="1">
      <alignment horizontal="center"/>
    </xf>
    <xf numFmtId="0" fontId="2" fillId="0" borderId="10" xfId="117" applyBorder="1" applyAlignment="1">
      <alignment horizontal="center"/>
    </xf>
    <xf numFmtId="2" fontId="2" fillId="0" borderId="16" xfId="117" applyNumberFormat="1" applyBorder="1"/>
    <xf numFmtId="0" fontId="46" fillId="0" borderId="18" xfId="117" applyFont="1" applyFill="1" applyBorder="1" applyAlignment="1">
      <alignment horizontal="center"/>
    </xf>
    <xf numFmtId="0" fontId="46" fillId="0" borderId="10" xfId="117" applyFont="1" applyFill="1" applyBorder="1" applyAlignment="1">
      <alignment horizontal="center"/>
    </xf>
    <xf numFmtId="0" fontId="2" fillId="0" borderId="0" xfId="117" applyFill="1"/>
    <xf numFmtId="2" fontId="2" fillId="0" borderId="10" xfId="117" applyNumberFormat="1" applyFont="1" applyFill="1" applyBorder="1" applyAlignment="1">
      <alignment horizontal="center"/>
    </xf>
    <xf numFmtId="2" fontId="2" fillId="0" borderId="44" xfId="117" applyNumberFormat="1" applyFill="1" applyBorder="1" applyAlignment="1">
      <alignment horizontal="center"/>
    </xf>
    <xf numFmtId="2" fontId="2" fillId="0" borderId="18" xfId="117" applyNumberFormat="1" applyFill="1" applyBorder="1" applyAlignment="1">
      <alignment horizontal="center"/>
    </xf>
    <xf numFmtId="2" fontId="2" fillId="0" borderId="10" xfId="117" applyNumberFormat="1" applyBorder="1" applyAlignment="1">
      <alignment horizontal="center"/>
    </xf>
    <xf numFmtId="2" fontId="2" fillId="0" borderId="44" xfId="117" applyNumberFormat="1" applyFont="1" applyFill="1" applyBorder="1" applyAlignment="1">
      <alignment horizontal="center"/>
    </xf>
    <xf numFmtId="0" fontId="2" fillId="0" borderId="19" xfId="117" applyFont="1" applyFill="1" applyBorder="1"/>
    <xf numFmtId="0" fontId="2" fillId="0" borderId="16" xfId="117" applyFill="1" applyBorder="1"/>
    <xf numFmtId="0" fontId="2" fillId="0" borderId="18" xfId="117" applyFill="1" applyBorder="1" applyAlignment="1">
      <alignment horizontal="center"/>
    </xf>
    <xf numFmtId="0" fontId="2" fillId="0" borderId="0" xfId="117" applyFill="1" applyAlignment="1">
      <alignment horizontal="center"/>
    </xf>
    <xf numFmtId="0" fontId="2" fillId="0" borderId="20" xfId="117" applyFont="1" applyFill="1" applyBorder="1"/>
    <xf numFmtId="2" fontId="2" fillId="0" borderId="21" xfId="117" applyNumberFormat="1" applyFill="1" applyBorder="1" applyAlignment="1">
      <alignment horizontal="center"/>
    </xf>
    <xf numFmtId="0" fontId="2" fillId="0" borderId="22" xfId="117" applyFill="1" applyBorder="1"/>
    <xf numFmtId="0" fontId="2" fillId="0" borderId="32" xfId="117" applyFill="1" applyBorder="1" applyAlignment="1">
      <alignment horizontal="center"/>
    </xf>
    <xf numFmtId="0" fontId="2" fillId="0" borderId="34" xfId="117" applyFill="1" applyBorder="1" applyAlignment="1">
      <alignment horizontal="center"/>
    </xf>
    <xf numFmtId="0" fontId="46" fillId="0" borderId="19" xfId="117" applyFont="1" applyFill="1" applyBorder="1"/>
    <xf numFmtId="0" fontId="2" fillId="64" borderId="10" xfId="117" applyFill="1" applyBorder="1" applyAlignment="1">
      <alignment horizontal="center"/>
    </xf>
    <xf numFmtId="0" fontId="2" fillId="0" borderId="0" xfId="117" applyFill="1" applyAlignment="1">
      <alignment horizontal="center" wrapText="1"/>
    </xf>
    <xf numFmtId="2" fontId="2" fillId="0" borderId="16" xfId="117" applyNumberFormat="1" applyFill="1" applyBorder="1" applyAlignment="1">
      <alignment horizontal="center"/>
    </xf>
    <xf numFmtId="0" fontId="2" fillId="0" borderId="10" xfId="117" applyFill="1" applyBorder="1"/>
    <xf numFmtId="0" fontId="46" fillId="61" borderId="29" xfId="117" applyFont="1" applyFill="1" applyBorder="1" applyAlignment="1">
      <alignment horizontal="center"/>
    </xf>
    <xf numFmtId="2" fontId="2" fillId="0" borderId="21" xfId="117" applyNumberFormat="1" applyFont="1" applyFill="1" applyBorder="1" applyAlignment="1">
      <alignment horizontal="center"/>
    </xf>
    <xf numFmtId="2" fontId="2" fillId="0" borderId="45" xfId="117" applyNumberFormat="1" applyFont="1" applyFill="1" applyBorder="1" applyAlignment="1">
      <alignment horizontal="center"/>
    </xf>
    <xf numFmtId="0" fontId="2" fillId="61" borderId="29" xfId="117" applyFill="1" applyBorder="1" applyAlignment="1">
      <alignment horizontal="center"/>
    </xf>
    <xf numFmtId="2" fontId="2" fillId="61" borderId="21" xfId="117" applyNumberFormat="1" applyFill="1" applyBorder="1" applyAlignment="1">
      <alignment horizontal="center"/>
    </xf>
    <xf numFmtId="0" fontId="2" fillId="61" borderId="21" xfId="117" applyFill="1" applyBorder="1" applyAlignment="1">
      <alignment horizontal="center"/>
    </xf>
    <xf numFmtId="0" fontId="2" fillId="61" borderId="45" xfId="117" applyFill="1" applyBorder="1" applyAlignment="1">
      <alignment horizontal="center"/>
    </xf>
    <xf numFmtId="2" fontId="2" fillId="0" borderId="29" xfId="117" applyNumberFormat="1" applyFill="1" applyBorder="1" applyAlignment="1">
      <alignment horizontal="center"/>
    </xf>
    <xf numFmtId="0" fontId="2" fillId="61" borderId="22" xfId="117" applyFill="1" applyBorder="1" applyAlignment="1">
      <alignment horizontal="center"/>
    </xf>
    <xf numFmtId="0" fontId="45" fillId="0" borderId="0" xfId="117" applyFont="1" applyAlignment="1">
      <alignment horizontal="right"/>
    </xf>
    <xf numFmtId="173" fontId="45" fillId="0" borderId="0" xfId="220" applyFont="1" applyAlignment="1">
      <alignment horizontal="center"/>
    </xf>
    <xf numFmtId="0" fontId="45" fillId="0" borderId="33" xfId="117" applyFont="1" applyFill="1" applyBorder="1"/>
    <xf numFmtId="0" fontId="2" fillId="0" borderId="26" xfId="117" applyFill="1" applyBorder="1" applyAlignment="1">
      <alignment horizontal="center"/>
    </xf>
    <xf numFmtId="0" fontId="46" fillId="0" borderId="0" xfId="117" applyFont="1" applyAlignment="1">
      <alignment horizontal="right"/>
    </xf>
    <xf numFmtId="173" fontId="45" fillId="0" borderId="0" xfId="117" applyNumberFormat="1" applyFont="1" applyAlignment="1">
      <alignment horizontal="center"/>
    </xf>
    <xf numFmtId="2" fontId="2" fillId="0" borderId="26" xfId="117" applyNumberFormat="1" applyFill="1" applyBorder="1" applyAlignment="1">
      <alignment horizontal="center"/>
    </xf>
    <xf numFmtId="0" fontId="45" fillId="0" borderId="0" xfId="117" applyFont="1" applyAlignment="1">
      <alignment horizontal="left"/>
    </xf>
    <xf numFmtId="0" fontId="2" fillId="0" borderId="0" xfId="117" applyFont="1"/>
    <xf numFmtId="0" fontId="50" fillId="0" borderId="0" xfId="117" applyFont="1" applyAlignment="1">
      <alignment horizontal="left"/>
    </xf>
    <xf numFmtId="0" fontId="2" fillId="0" borderId="0" xfId="117" applyFont="1" applyAlignment="1">
      <alignment horizontal="right"/>
    </xf>
    <xf numFmtId="0" fontId="2" fillId="0" borderId="0" xfId="117" applyFont="1" applyAlignment="1">
      <alignment horizontal="center"/>
    </xf>
    <xf numFmtId="0" fontId="46" fillId="0" borderId="0" xfId="117" applyFont="1" applyAlignment="1">
      <alignment horizontal="center"/>
    </xf>
    <xf numFmtId="0" fontId="46" fillId="0" borderId="0" xfId="117" applyFont="1" applyAlignment="1">
      <alignment horizontal="left"/>
    </xf>
    <xf numFmtId="0" fontId="46" fillId="62" borderId="27" xfId="117" applyFont="1" applyFill="1" applyBorder="1" applyAlignment="1">
      <alignment horizontal="center"/>
    </xf>
    <xf numFmtId="0" fontId="46" fillId="62" borderId="27" xfId="117" applyFont="1" applyFill="1" applyBorder="1" applyAlignment="1">
      <alignment horizontal="center"/>
    </xf>
    <xf numFmtId="0" fontId="46" fillId="61" borderId="38" xfId="117" applyFont="1" applyFill="1" applyBorder="1" applyAlignment="1"/>
    <xf numFmtId="0" fontId="46" fillId="61" borderId="30" xfId="117" applyFont="1" applyFill="1" applyBorder="1" applyAlignment="1">
      <alignment horizontal="center" vertical="center" wrapText="1"/>
    </xf>
    <xf numFmtId="0" fontId="46" fillId="61" borderId="37" xfId="117" applyFont="1" applyFill="1" applyBorder="1" applyAlignment="1">
      <alignment horizontal="center" vertical="center" wrapText="1"/>
    </xf>
    <xf numFmtId="0" fontId="46" fillId="61" borderId="31" xfId="117" applyFont="1" applyFill="1" applyBorder="1" applyAlignment="1">
      <alignment horizontal="center" vertical="center" wrapText="1"/>
    </xf>
    <xf numFmtId="2" fontId="46" fillId="61" borderId="18" xfId="117" applyNumberFormat="1" applyFont="1" applyFill="1" applyBorder="1" applyAlignment="1">
      <alignment horizontal="center"/>
    </xf>
    <xf numFmtId="2" fontId="46" fillId="61" borderId="10" xfId="117" applyNumberFormat="1" applyFont="1" applyFill="1" applyBorder="1" applyAlignment="1">
      <alignment horizontal="center"/>
    </xf>
    <xf numFmtId="2" fontId="46" fillId="61" borderId="16" xfId="117" applyNumberFormat="1" applyFont="1" applyFill="1" applyBorder="1" applyAlignment="1">
      <alignment horizontal="center"/>
    </xf>
    <xf numFmtId="2" fontId="2" fillId="61" borderId="46" xfId="117" applyNumberFormat="1" applyFill="1" applyBorder="1" applyAlignment="1">
      <alignment horizontal="center"/>
    </xf>
    <xf numFmtId="0" fontId="46" fillId="61" borderId="27" xfId="117" applyFont="1" applyFill="1" applyBorder="1" applyAlignment="1">
      <alignment horizontal="center"/>
    </xf>
    <xf numFmtId="0" fontId="46" fillId="61" borderId="37" xfId="117" applyFont="1" applyFill="1" applyBorder="1" applyAlignment="1">
      <alignment horizontal="center" wrapText="1"/>
    </xf>
    <xf numFmtId="0" fontId="46" fillId="61" borderId="43" xfId="117" applyFont="1" applyFill="1" applyBorder="1" applyAlignment="1">
      <alignment horizontal="center" wrapText="1"/>
    </xf>
    <xf numFmtId="2" fontId="2" fillId="61" borderId="10" xfId="117" applyNumberFormat="1" applyFill="1" applyBorder="1" applyAlignment="1">
      <alignment horizontal="center"/>
    </xf>
    <xf numFmtId="2" fontId="2" fillId="61" borderId="10" xfId="117" applyNumberFormat="1" applyFont="1" applyFill="1" applyBorder="1" applyAlignment="1">
      <alignment horizontal="center"/>
    </xf>
    <xf numFmtId="2" fontId="2" fillId="61" borderId="44" xfId="117" applyNumberFormat="1" applyFont="1" applyFill="1" applyBorder="1" applyAlignment="1">
      <alignment horizontal="center"/>
    </xf>
    <xf numFmtId="0" fontId="4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30" fillId="0" borderId="0" xfId="0" applyFont="1"/>
    <xf numFmtId="0" fontId="131" fillId="0" borderId="10" xfId="0" applyFont="1" applyBorder="1"/>
    <xf numFmtId="0" fontId="2" fillId="0" borderId="0" xfId="0" applyFont="1" applyAlignment="1">
      <alignment horizontal="justify" vertical="center"/>
    </xf>
    <xf numFmtId="173" fontId="34" fillId="0" borderId="10" xfId="220" applyFont="1" applyFill="1" applyBorder="1" applyAlignment="1">
      <alignment horizontal="right"/>
    </xf>
    <xf numFmtId="173" fontId="35" fillId="0" borderId="10" xfId="220" applyFont="1" applyFill="1" applyBorder="1" applyAlignment="1">
      <alignment horizontal="right"/>
    </xf>
    <xf numFmtId="173" fontId="35" fillId="24" borderId="10" xfId="220" applyFont="1" applyFill="1" applyBorder="1" applyAlignment="1">
      <alignment horizontal="right"/>
    </xf>
    <xf numFmtId="0" fontId="2" fillId="0" borderId="0" xfId="117" applyFont="1" applyAlignment="1">
      <alignment wrapText="1"/>
    </xf>
    <xf numFmtId="0" fontId="2" fillId="0" borderId="0" xfId="117" applyFont="1" applyAlignment="1">
      <alignment horizontal="center" wrapText="1"/>
    </xf>
    <xf numFmtId="0" fontId="2" fillId="65" borderId="0" xfId="117" applyFont="1" applyFill="1" applyAlignment="1">
      <alignment horizontal="center"/>
    </xf>
    <xf numFmtId="10" fontId="64" fillId="0" borderId="0" xfId="169" applyNumberFormat="1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center" vertical="justify"/>
    </xf>
    <xf numFmtId="49" fontId="63" fillId="0" borderId="0" xfId="136" applyNumberFormat="1" applyFont="1" applyFill="1" applyBorder="1" applyAlignment="1" applyProtection="1">
      <alignment horizontal="center" vertical="center"/>
      <protection locked="0"/>
    </xf>
    <xf numFmtId="181" fontId="40" fillId="0" borderId="0" xfId="94" applyNumberFormat="1" applyFont="1" applyFill="1" applyBorder="1" applyAlignment="1" applyProtection="1">
      <alignment horizontal="center" wrapText="1"/>
      <protection locked="0"/>
    </xf>
    <xf numFmtId="0" fontId="46" fillId="0" borderId="34" xfId="117" applyFont="1" applyBorder="1" applyAlignment="1">
      <alignment horizontal="right"/>
    </xf>
    <xf numFmtId="0" fontId="46" fillId="0" borderId="34" xfId="117" applyFont="1" applyBorder="1" applyAlignment="1">
      <alignment horizontal="center"/>
    </xf>
    <xf numFmtId="0" fontId="2" fillId="0" borderId="0" xfId="117" applyFont="1" applyBorder="1" applyAlignment="1">
      <alignment horizontal="center"/>
    </xf>
    <xf numFmtId="0" fontId="2" fillId="0" borderId="23" xfId="117" applyFont="1" applyBorder="1" applyAlignment="1">
      <alignment horizontal="center"/>
    </xf>
    <xf numFmtId="0" fontId="46" fillId="0" borderId="47" xfId="117" applyFont="1" applyBorder="1" applyAlignment="1">
      <alignment horizontal="center"/>
    </xf>
    <xf numFmtId="0" fontId="2" fillId="0" borderId="10" xfId="117" applyFont="1" applyBorder="1" applyAlignment="1">
      <alignment horizontal="center"/>
    </xf>
    <xf numFmtId="0" fontId="2" fillId="0" borderId="10" xfId="117" applyFont="1" applyBorder="1"/>
    <xf numFmtId="0" fontId="46" fillId="0" borderId="10" xfId="117" applyFont="1" applyBorder="1" applyAlignment="1">
      <alignment horizontal="center"/>
    </xf>
    <xf numFmtId="0" fontId="2" fillId="0" borderId="10" xfId="117" applyFont="1" applyBorder="1" applyAlignment="1">
      <alignment horizontal="right"/>
    </xf>
    <xf numFmtId="0" fontId="46" fillId="0" borderId="10" xfId="117" applyFont="1" applyBorder="1" applyAlignment="1">
      <alignment horizontal="right"/>
    </xf>
    <xf numFmtId="0" fontId="103" fillId="0" borderId="0" xfId="117" applyFont="1" applyAlignment="1">
      <alignment horizontal="center"/>
    </xf>
    <xf numFmtId="0" fontId="39" fillId="24" borderId="10" xfId="117" applyFont="1" applyFill="1" applyBorder="1" applyAlignment="1">
      <alignment vertical="distributed" wrapText="1"/>
    </xf>
    <xf numFmtId="173" fontId="11" fillId="62" borderId="42" xfId="220" applyFont="1" applyFill="1" applyBorder="1" applyAlignment="1">
      <alignment horizontal="center" wrapText="1"/>
    </xf>
    <xf numFmtId="4" fontId="11" fillId="62" borderId="42" xfId="220" applyNumberFormat="1" applyFont="1" applyFill="1" applyBorder="1" applyAlignment="1">
      <alignment horizontal="center" wrapText="1"/>
    </xf>
    <xf numFmtId="173" fontId="11" fillId="62" borderId="26" xfId="220" applyFont="1" applyFill="1" applyBorder="1" applyAlignment="1">
      <alignment horizontal="center"/>
    </xf>
    <xf numFmtId="0" fontId="102" fillId="61" borderId="10" xfId="158" applyFont="1" applyFill="1" applyBorder="1" applyAlignment="1">
      <alignment horizontal="left" vertical="center" wrapText="1"/>
    </xf>
    <xf numFmtId="0" fontId="35" fillId="0" borderId="10" xfId="117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117" applyFont="1" applyBorder="1" applyAlignment="1">
      <alignment horizontal="left" vertical="center" wrapText="1"/>
    </xf>
    <xf numFmtId="4" fontId="102" fillId="0" borderId="10" xfId="158" applyNumberFormat="1" applyFont="1" applyBorder="1" applyAlignment="1">
      <alignment horizontal="center" vertical="center" wrapText="1"/>
    </xf>
    <xf numFmtId="173" fontId="35" fillId="0" borderId="34" xfId="220" applyFont="1" applyFill="1" applyBorder="1" applyAlignment="1">
      <alignment horizontal="right"/>
    </xf>
    <xf numFmtId="173" fontId="102" fillId="0" borderId="10" xfId="220" applyFont="1" applyBorder="1" applyAlignment="1">
      <alignment horizontal="center" vertical="center" wrapText="1"/>
    </xf>
    <xf numFmtId="0" fontId="102" fillId="0" borderId="10" xfId="158" applyFont="1" applyFill="1" applyBorder="1" applyAlignment="1">
      <alignment horizontal="center" vertical="center" wrapText="1"/>
    </xf>
    <xf numFmtId="173" fontId="102" fillId="0" borderId="10" xfId="220" applyFont="1" applyFill="1" applyBorder="1" applyAlignment="1">
      <alignment horizontal="center" vertical="center" wrapText="1"/>
    </xf>
    <xf numFmtId="0" fontId="102" fillId="0" borderId="10" xfId="158" applyFont="1" applyFill="1" applyBorder="1" applyAlignment="1">
      <alignment horizontal="left" vertical="center" wrapText="1"/>
    </xf>
    <xf numFmtId="0" fontId="102" fillId="0" borderId="10" xfId="158" quotePrefix="1" applyFont="1" applyBorder="1" applyAlignment="1">
      <alignment horizontal="center" vertical="center" wrapText="1"/>
    </xf>
    <xf numFmtId="0" fontId="102" fillId="0" borderId="48" xfId="158" applyFont="1" applyBorder="1" applyAlignment="1">
      <alignment horizontal="center" vertical="center" wrapText="1"/>
    </xf>
    <xf numFmtId="2" fontId="102" fillId="0" borderId="48" xfId="158" applyNumberFormat="1" applyFont="1" applyBorder="1" applyAlignment="1">
      <alignment horizontal="center" vertical="center" wrapText="1"/>
    </xf>
    <xf numFmtId="0" fontId="102" fillId="29" borderId="10" xfId="158" applyFont="1" applyFill="1" applyBorder="1" applyAlignment="1">
      <alignment horizontal="center" vertical="center" wrapText="1"/>
    </xf>
    <xf numFmtId="0" fontId="102" fillId="29" borderId="10" xfId="158" applyFont="1" applyFill="1" applyBorder="1" applyAlignment="1">
      <alignment horizontal="left" vertical="center" wrapText="1"/>
    </xf>
    <xf numFmtId="0" fontId="102" fillId="0" borderId="49" xfId="158" applyFont="1" applyBorder="1" applyAlignment="1">
      <alignment horizontal="center" vertical="center" wrapText="1"/>
    </xf>
    <xf numFmtId="2" fontId="102" fillId="0" borderId="49" xfId="158" applyNumberFormat="1" applyFont="1" applyBorder="1" applyAlignment="1">
      <alignment horizontal="center" vertical="center" wrapText="1"/>
    </xf>
    <xf numFmtId="0" fontId="0" fillId="0" borderId="50" xfId="0" applyBorder="1"/>
    <xf numFmtId="173" fontId="35" fillId="0" borderId="23" xfId="220" applyFont="1" applyFill="1" applyBorder="1" applyAlignment="1">
      <alignment horizontal="right"/>
    </xf>
    <xf numFmtId="173" fontId="107" fillId="0" borderId="10" xfId="220" applyFont="1" applyBorder="1" applyAlignment="1">
      <alignment horizontal="center" vertical="center" wrapText="1"/>
    </xf>
    <xf numFmtId="173" fontId="107" fillId="0" borderId="10" xfId="220" applyFont="1" applyFill="1" applyBorder="1" applyAlignment="1">
      <alignment horizontal="center" vertical="center" wrapText="1"/>
    </xf>
    <xf numFmtId="0" fontId="2" fillId="0" borderId="0" xfId="0" applyFont="1" applyBorder="1"/>
    <xf numFmtId="0" fontId="107" fillId="0" borderId="10" xfId="158" applyFont="1" applyBorder="1" applyAlignment="1">
      <alignment horizontal="center" vertical="center" wrapText="1"/>
    </xf>
    <xf numFmtId="173" fontId="35" fillId="0" borderId="39" xfId="220" applyFont="1" applyFill="1" applyBorder="1" applyAlignment="1">
      <alignment horizontal="right"/>
    </xf>
    <xf numFmtId="2" fontId="102" fillId="0" borderId="0" xfId="158" applyNumberFormat="1" applyFont="1" applyBorder="1" applyAlignment="1">
      <alignment horizontal="center" vertical="center" wrapText="1"/>
    </xf>
    <xf numFmtId="0" fontId="2" fillId="0" borderId="0" xfId="117" applyAlignment="1">
      <alignment horizontal="left"/>
    </xf>
    <xf numFmtId="0" fontId="12" fillId="0" borderId="0" xfId="220" applyNumberFormat="1" applyFont="1" applyBorder="1" applyAlignment="1">
      <alignment horizontal="right" vertical="center"/>
    </xf>
    <xf numFmtId="0" fontId="38" fillId="63" borderId="33" xfId="117" applyFont="1" applyFill="1" applyBorder="1" applyAlignment="1">
      <alignment vertical="distributed"/>
    </xf>
    <xf numFmtId="0" fontId="38" fillId="63" borderId="42" xfId="117" applyFont="1" applyFill="1" applyBorder="1" applyAlignment="1">
      <alignment vertical="distributed"/>
    </xf>
    <xf numFmtId="173" fontId="40" fillId="63" borderId="42" xfId="220" applyFont="1" applyFill="1" applyBorder="1" applyAlignment="1">
      <alignment horizontal="right"/>
    </xf>
    <xf numFmtId="0" fontId="4" fillId="63" borderId="42" xfId="220" applyNumberFormat="1" applyFont="1" applyFill="1" applyBorder="1" applyAlignment="1">
      <alignment horizontal="right" vertical="center"/>
    </xf>
    <xf numFmtId="0" fontId="4" fillId="63" borderId="42" xfId="220" applyNumberFormat="1" applyFont="1" applyFill="1" applyBorder="1" applyAlignment="1">
      <alignment vertical="distributed"/>
    </xf>
    <xf numFmtId="0" fontId="4" fillId="63" borderId="42" xfId="220" applyNumberFormat="1" applyFont="1" applyFill="1" applyBorder="1" applyAlignment="1">
      <alignment horizontal="center"/>
    </xf>
    <xf numFmtId="0" fontId="40" fillId="63" borderId="42" xfId="220" applyNumberFormat="1" applyFont="1" applyFill="1" applyBorder="1" applyAlignment="1">
      <alignment horizontal="center"/>
    </xf>
    <xf numFmtId="172" fontId="106" fillId="63" borderId="26" xfId="92" applyFont="1" applyFill="1" applyBorder="1" applyAlignment="1"/>
    <xf numFmtId="172" fontId="36" fillId="25" borderId="42" xfId="92" applyFont="1" applyFill="1" applyBorder="1"/>
    <xf numFmtId="0" fontId="4" fillId="0" borderId="32" xfId="159" quotePrefix="1" applyNumberFormat="1" applyFont="1" applyFill="1" applyBorder="1" applyAlignment="1">
      <alignment horizontal="center" vertical="center"/>
    </xf>
    <xf numFmtId="0" fontId="4" fillId="0" borderId="34" xfId="159" quotePrefix="1" applyNumberFormat="1" applyFont="1" applyFill="1" applyBorder="1" applyAlignment="1">
      <alignment horizontal="left" vertical="center" wrapText="1"/>
    </xf>
    <xf numFmtId="173" fontId="12" fillId="0" borderId="34" xfId="220" applyFont="1" applyFill="1" applyBorder="1" applyAlignment="1">
      <alignment horizontal="center" vertical="center"/>
    </xf>
    <xf numFmtId="10" fontId="12" fillId="0" borderId="34" xfId="169" applyNumberFormat="1" applyFont="1" applyFill="1" applyBorder="1" applyAlignment="1">
      <alignment horizontal="center" vertical="center"/>
    </xf>
    <xf numFmtId="173" fontId="12" fillId="0" borderId="34" xfId="220" applyFont="1" applyFill="1" applyBorder="1" applyAlignment="1">
      <alignment horizontal="left" vertical="center"/>
    </xf>
    <xf numFmtId="175" fontId="12" fillId="0" borderId="34" xfId="169" applyNumberFormat="1" applyFont="1" applyFill="1" applyBorder="1" applyAlignment="1">
      <alignment horizontal="center"/>
    </xf>
    <xf numFmtId="173" fontId="12" fillId="0" borderId="34" xfId="220" applyFont="1" applyFill="1" applyBorder="1"/>
    <xf numFmtId="173" fontId="12" fillId="0" borderId="35" xfId="220" applyFont="1" applyFill="1" applyBorder="1"/>
    <xf numFmtId="0" fontId="5" fillId="25" borderId="33" xfId="0" applyFont="1" applyFill="1" applyBorder="1" applyAlignment="1">
      <alignment horizontal="center" vertical="center"/>
    </xf>
    <xf numFmtId="10" fontId="5" fillId="25" borderId="42" xfId="169" applyNumberFormat="1" applyFont="1" applyFill="1" applyBorder="1" applyAlignment="1">
      <alignment horizontal="center" vertical="center"/>
    </xf>
    <xf numFmtId="173" fontId="5" fillId="25" borderId="42" xfId="220" applyFont="1" applyFill="1" applyBorder="1" applyAlignment="1">
      <alignment horizontal="center"/>
    </xf>
    <xf numFmtId="173" fontId="38" fillId="25" borderId="42" xfId="220" applyFont="1" applyFill="1" applyBorder="1" applyAlignment="1">
      <alignment horizontal="center"/>
    </xf>
    <xf numFmtId="10" fontId="36" fillId="25" borderId="42" xfId="169" applyNumberFormat="1" applyFont="1" applyFill="1" applyBorder="1" applyAlignment="1">
      <alignment horizontal="center"/>
    </xf>
    <xf numFmtId="173" fontId="34" fillId="25" borderId="42" xfId="0" applyNumberFormat="1" applyFont="1" applyFill="1" applyBorder="1"/>
    <xf numFmtId="173" fontId="34" fillId="25" borderId="26" xfId="0" applyNumberFormat="1" applyFont="1" applyFill="1" applyBorder="1"/>
    <xf numFmtId="0" fontId="4" fillId="0" borderId="51" xfId="159" quotePrefix="1" applyNumberFormat="1" applyFont="1" applyFill="1" applyBorder="1" applyAlignment="1">
      <alignment horizontal="center" vertical="center"/>
    </xf>
    <xf numFmtId="0" fontId="4" fillId="0" borderId="23" xfId="159" quotePrefix="1" applyNumberFormat="1" applyFont="1" applyFill="1" applyBorder="1" applyAlignment="1">
      <alignment horizontal="left" vertical="center" wrapText="1"/>
    </xf>
    <xf numFmtId="173" fontId="12" fillId="0" borderId="23" xfId="220" applyFont="1" applyFill="1" applyBorder="1" applyAlignment="1">
      <alignment horizontal="center" vertical="center"/>
    </xf>
    <xf numFmtId="10" fontId="12" fillId="0" borderId="23" xfId="169" applyNumberFormat="1" applyFont="1" applyFill="1" applyBorder="1" applyAlignment="1">
      <alignment horizontal="center" vertical="center"/>
    </xf>
    <xf numFmtId="173" fontId="12" fillId="0" borderId="23" xfId="220" applyFont="1" applyFill="1" applyBorder="1" applyAlignment="1">
      <alignment horizontal="left" vertical="center"/>
    </xf>
    <xf numFmtId="175" fontId="12" fillId="0" borderId="23" xfId="169" applyNumberFormat="1" applyFont="1" applyFill="1" applyBorder="1" applyAlignment="1">
      <alignment horizontal="center"/>
    </xf>
    <xf numFmtId="173" fontId="12" fillId="0" borderId="23" xfId="220" applyFont="1" applyFill="1" applyBorder="1"/>
    <xf numFmtId="173" fontId="12" fillId="0" borderId="36" xfId="220" applyFont="1" applyFill="1" applyBorder="1"/>
    <xf numFmtId="0" fontId="5" fillId="25" borderId="33" xfId="152" applyFont="1" applyFill="1" applyBorder="1" applyAlignment="1">
      <alignment horizontal="center" vertical="center"/>
    </xf>
    <xf numFmtId="0" fontId="38" fillId="25" borderId="42" xfId="152" applyFont="1" applyFill="1" applyBorder="1" applyAlignment="1">
      <alignment horizontal="right"/>
    </xf>
    <xf numFmtId="173" fontId="38" fillId="25" borderId="42" xfId="220" applyFont="1" applyFill="1" applyBorder="1" applyAlignment="1">
      <alignment horizontal="center" vertical="center"/>
    </xf>
    <xf numFmtId="10" fontId="5" fillId="25" borderId="42" xfId="169" applyNumberFormat="1" applyFont="1" applyFill="1" applyBorder="1" applyAlignment="1">
      <alignment horizontal="center"/>
    </xf>
    <xf numFmtId="10" fontId="38" fillId="25" borderId="42" xfId="169" applyNumberFormat="1" applyFont="1" applyFill="1" applyBorder="1" applyAlignment="1">
      <alignment horizontal="center" vertical="center"/>
    </xf>
    <xf numFmtId="173" fontId="38" fillId="25" borderId="26" xfId="220" applyFont="1" applyFill="1" applyBorder="1" applyAlignment="1">
      <alignment horizontal="center" vertical="center"/>
    </xf>
    <xf numFmtId="0" fontId="4" fillId="0" borderId="40" xfId="159" quotePrefix="1" applyNumberFormat="1" applyFont="1" applyFill="1" applyBorder="1" applyAlignment="1">
      <alignment horizontal="center" vertical="center"/>
    </xf>
    <xf numFmtId="0" fontId="4" fillId="0" borderId="39" xfId="159" quotePrefix="1" applyNumberFormat="1" applyFont="1" applyFill="1" applyBorder="1" applyAlignment="1">
      <alignment horizontal="left" vertical="center" wrapText="1"/>
    </xf>
    <xf numFmtId="173" fontId="12" fillId="0" borderId="39" xfId="220" applyFont="1" applyFill="1" applyBorder="1" applyAlignment="1">
      <alignment horizontal="center"/>
    </xf>
    <xf numFmtId="10" fontId="12" fillId="0" borderId="39" xfId="169" applyNumberFormat="1" applyFont="1" applyFill="1" applyBorder="1" applyAlignment="1">
      <alignment horizontal="center"/>
    </xf>
    <xf numFmtId="173" fontId="12" fillId="0" borderId="39" xfId="220" applyFont="1" applyFill="1" applyBorder="1" applyAlignment="1">
      <alignment horizontal="left"/>
    </xf>
    <xf numFmtId="173" fontId="12" fillId="0" borderId="39" xfId="220" applyFont="1" applyFill="1" applyBorder="1"/>
    <xf numFmtId="173" fontId="12" fillId="0" borderId="41" xfId="220" applyFont="1" applyFill="1" applyBorder="1"/>
    <xf numFmtId="0" fontId="4" fillId="25" borderId="21" xfId="0" applyFont="1" applyFill="1" applyBorder="1" applyAlignment="1">
      <alignment horizontal="center"/>
    </xf>
    <xf numFmtId="9" fontId="4" fillId="25" borderId="21" xfId="0" applyNumberFormat="1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173" fontId="35" fillId="24" borderId="23" xfId="220" applyFont="1" applyFill="1" applyBorder="1" applyAlignment="1">
      <alignment horizontal="center"/>
    </xf>
    <xf numFmtId="4" fontId="39" fillId="63" borderId="52" xfId="220" applyNumberFormat="1" applyFont="1" applyFill="1" applyBorder="1" applyAlignment="1">
      <alignment horizontal="right"/>
    </xf>
    <xf numFmtId="172" fontId="38" fillId="63" borderId="53" xfId="92" applyFont="1" applyFill="1" applyBorder="1" applyAlignment="1">
      <alignment horizontal="right"/>
    </xf>
    <xf numFmtId="4" fontId="35" fillId="0" borderId="37" xfId="220" applyNumberFormat="1" applyFont="1" applyFill="1" applyBorder="1" applyAlignment="1">
      <alignment horizontal="right"/>
    </xf>
    <xf numFmtId="4" fontId="35" fillId="0" borderId="31" xfId="220" applyNumberFormat="1" applyFont="1" applyFill="1" applyBorder="1" applyAlignment="1">
      <alignment horizontal="right"/>
    </xf>
    <xf numFmtId="10" fontId="9" fillId="0" borderId="0" xfId="169" applyNumberFormat="1" applyFont="1" applyBorder="1" applyAlignment="1"/>
    <xf numFmtId="0" fontId="5" fillId="0" borderId="0" xfId="186" applyNumberFormat="1" applyFont="1" applyFill="1" applyBorder="1" applyAlignment="1" applyProtection="1">
      <alignment vertical="center"/>
      <protection locked="0"/>
    </xf>
    <xf numFmtId="10" fontId="9" fillId="0" borderId="11" xfId="169" applyNumberFormat="1" applyFont="1" applyBorder="1" applyAlignment="1"/>
    <xf numFmtId="0" fontId="0" fillId="0" borderId="13" xfId="0" applyBorder="1"/>
    <xf numFmtId="0" fontId="0" fillId="0" borderId="14" xfId="0" applyBorder="1"/>
    <xf numFmtId="0" fontId="5" fillId="0" borderId="24" xfId="186" applyNumberFormat="1" applyFont="1" applyFill="1" applyBorder="1" applyAlignment="1" applyProtection="1">
      <alignment vertical="center"/>
      <protection locked="0"/>
    </xf>
    <xf numFmtId="0" fontId="5" fillId="0" borderId="12" xfId="186" applyNumberFormat="1" applyFont="1" applyFill="1" applyBorder="1" applyAlignment="1" applyProtection="1">
      <alignment vertical="center"/>
      <protection locked="0"/>
    </xf>
    <xf numFmtId="10" fontId="9" fillId="0" borderId="12" xfId="169" applyNumberFormat="1" applyFont="1" applyBorder="1" applyAlignment="1"/>
    <xf numFmtId="0" fontId="0" fillId="0" borderId="15" xfId="0" applyBorder="1"/>
    <xf numFmtId="0" fontId="102" fillId="0" borderId="25" xfId="158" applyFont="1" applyBorder="1" applyAlignment="1">
      <alignment horizontal="center" vertical="center" wrapText="1"/>
    </xf>
    <xf numFmtId="0" fontId="102" fillId="0" borderId="11" xfId="158" applyFont="1" applyBorder="1" applyAlignment="1">
      <alignment horizontal="left" vertical="center" wrapText="1"/>
    </xf>
    <xf numFmtId="2" fontId="0" fillId="0" borderId="13" xfId="0" applyNumberFormat="1" applyBorder="1" applyAlignment="1">
      <alignment horizontal="center"/>
    </xf>
    <xf numFmtId="0" fontId="102" fillId="0" borderId="17" xfId="158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02" fillId="0" borderId="17" xfId="158" applyFont="1" applyFill="1" applyBorder="1" applyAlignment="1">
      <alignment horizontal="center" vertical="center" wrapText="1"/>
    </xf>
    <xf numFmtId="0" fontId="102" fillId="0" borderId="0" xfId="158" applyFont="1" applyFill="1" applyBorder="1" applyAlignment="1">
      <alignment horizontal="left" vertical="center" wrapText="1"/>
    </xf>
    <xf numFmtId="0" fontId="102" fillId="0" borderId="24" xfId="158" applyFont="1" applyFill="1" applyBorder="1" applyAlignment="1">
      <alignment horizontal="center" vertical="center" wrapText="1"/>
    </xf>
    <xf numFmtId="0" fontId="102" fillId="0" borderId="12" xfId="158" applyFont="1" applyFill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/>
    </xf>
    <xf numFmtId="0" fontId="2" fillId="0" borderId="0" xfId="117" applyFill="1" applyBorder="1"/>
    <xf numFmtId="49" fontId="37" fillId="61" borderId="19" xfId="220" applyNumberFormat="1" applyFont="1" applyFill="1" applyBorder="1" applyAlignment="1">
      <alignment horizontal="center" vertical="center"/>
    </xf>
    <xf numFmtId="49" fontId="42" fillId="63" borderId="42" xfId="220" applyNumberFormat="1" applyFont="1" applyFill="1" applyBorder="1" applyAlignment="1">
      <alignment horizontal="center" vertical="center"/>
    </xf>
    <xf numFmtId="49" fontId="39" fillId="63" borderId="42" xfId="220" applyNumberFormat="1" applyFont="1" applyFill="1" applyBorder="1" applyAlignment="1">
      <alignment horizontal="center" vertical="center"/>
    </xf>
    <xf numFmtId="49" fontId="37" fillId="0" borderId="39" xfId="220" applyNumberFormat="1" applyFont="1" applyFill="1" applyBorder="1" applyAlignment="1">
      <alignment horizontal="center" vertical="center"/>
    </xf>
    <xf numFmtId="49" fontId="37" fillId="61" borderId="39" xfId="220" applyNumberFormat="1" applyFont="1" applyFill="1" applyBorder="1" applyAlignment="1">
      <alignment horizontal="center" vertical="center"/>
    </xf>
    <xf numFmtId="49" fontId="80" fillId="61" borderId="10" xfId="220" applyNumberFormat="1" applyFont="1" applyFill="1" applyBorder="1" applyAlignment="1">
      <alignment horizontal="center" vertical="center"/>
    </xf>
    <xf numFmtId="49" fontId="80" fillId="0" borderId="10" xfId="220" applyNumberFormat="1" applyFont="1" applyFill="1" applyBorder="1" applyAlignment="1">
      <alignment horizontal="center" vertical="center"/>
    </xf>
    <xf numFmtId="49" fontId="80" fillId="61" borderId="34" xfId="220" applyNumberFormat="1" applyFont="1" applyFill="1" applyBorder="1" applyAlignment="1">
      <alignment horizontal="center" vertical="center"/>
    </xf>
    <xf numFmtId="49" fontId="80" fillId="61" borderId="10" xfId="220" applyNumberFormat="1" applyFont="1" applyFill="1" applyBorder="1" applyAlignment="1">
      <alignment horizontal="center" vertical="center" wrapText="1"/>
    </xf>
    <xf numFmtId="49" fontId="37" fillId="61" borderId="10" xfId="220" applyNumberFormat="1" applyFont="1" applyFill="1" applyBorder="1" applyAlignment="1">
      <alignment horizontal="center" vertical="center"/>
    </xf>
    <xf numFmtId="49" fontId="80" fillId="0" borderId="34" xfId="220" applyNumberFormat="1" applyFont="1" applyFill="1" applyBorder="1" applyAlignment="1">
      <alignment horizontal="center" vertical="center"/>
    </xf>
    <xf numFmtId="49" fontId="37" fillId="0" borderId="39" xfId="220" applyNumberFormat="1" applyFont="1" applyFill="1" applyBorder="1" applyAlignment="1">
      <alignment horizontal="center" vertical="center" wrapText="1"/>
    </xf>
    <xf numFmtId="49" fontId="37" fillId="0" borderId="10" xfId="220" applyNumberFormat="1" applyFont="1" applyFill="1" applyBorder="1" applyAlignment="1">
      <alignment horizontal="center" vertical="center" wrapText="1"/>
    </xf>
    <xf numFmtId="49" fontId="80" fillId="0" borderId="39" xfId="220" applyNumberFormat="1" applyFont="1" applyFill="1" applyBorder="1" applyAlignment="1">
      <alignment horizontal="center" vertical="center"/>
    </xf>
    <xf numFmtId="0" fontId="34" fillId="0" borderId="10" xfId="117" applyFont="1" applyFill="1" applyBorder="1" applyAlignment="1">
      <alignment horizontal="left" vertical="center" wrapText="1"/>
    </xf>
    <xf numFmtId="0" fontId="34" fillId="0" borderId="39" xfId="117" applyFont="1" applyFill="1" applyBorder="1" applyAlignment="1">
      <alignment vertical="distributed" wrapText="1"/>
    </xf>
    <xf numFmtId="4" fontId="35" fillId="66" borderId="10" xfId="220" applyNumberFormat="1" applyFont="1" applyFill="1" applyBorder="1" applyAlignment="1" applyProtection="1">
      <alignment horizontal="right"/>
      <protection locked="0"/>
    </xf>
    <xf numFmtId="4" fontId="39" fillId="63" borderId="42" xfId="220" applyNumberFormat="1" applyFont="1" applyFill="1" applyBorder="1" applyAlignment="1" applyProtection="1">
      <alignment horizontal="right"/>
      <protection locked="0"/>
    </xf>
    <xf numFmtId="4" fontId="35" fillId="66" borderId="39" xfId="220" applyNumberFormat="1" applyFont="1" applyFill="1" applyBorder="1" applyAlignment="1" applyProtection="1">
      <alignment horizontal="right"/>
      <protection locked="0"/>
    </xf>
    <xf numFmtId="4" fontId="84" fillId="63" borderId="42" xfId="178" applyNumberFormat="1" applyFont="1" applyFill="1" applyBorder="1" applyAlignment="1" applyProtection="1">
      <alignment horizontal="right"/>
      <protection locked="0"/>
    </xf>
    <xf numFmtId="0" fontId="38" fillId="63" borderId="42" xfId="117" applyFont="1" applyFill="1" applyBorder="1" applyAlignment="1" applyProtection="1">
      <alignment vertical="distributed" wrapText="1"/>
      <protection locked="0"/>
    </xf>
    <xf numFmtId="4" fontId="35" fillId="66" borderId="34" xfId="220" applyNumberFormat="1" applyFont="1" applyFill="1" applyBorder="1" applyAlignment="1" applyProtection="1">
      <alignment horizontal="right"/>
      <protection locked="0"/>
    </xf>
    <xf numFmtId="4" fontId="34" fillId="66" borderId="34" xfId="220" applyNumberFormat="1" applyFont="1" applyFill="1" applyBorder="1" applyAlignment="1" applyProtection="1">
      <alignment horizontal="right"/>
      <protection locked="0"/>
    </xf>
    <xf numFmtId="4" fontId="34" fillId="66" borderId="10" xfId="220" applyNumberFormat="1" applyFont="1" applyFill="1" applyBorder="1" applyAlignment="1" applyProtection="1">
      <alignment horizontal="right"/>
      <protection locked="0"/>
    </xf>
    <xf numFmtId="4" fontId="34" fillId="66" borderId="39" xfId="220" applyNumberFormat="1" applyFont="1" applyFill="1" applyBorder="1" applyAlignment="1" applyProtection="1">
      <alignment horizontal="right"/>
      <protection locked="0"/>
    </xf>
    <xf numFmtId="4" fontId="34" fillId="66" borderId="23" xfId="220" applyNumberFormat="1" applyFont="1" applyFill="1" applyBorder="1" applyAlignment="1" applyProtection="1">
      <alignment horizontal="right"/>
      <protection locked="0"/>
    </xf>
    <xf numFmtId="4" fontId="52" fillId="63" borderId="42" xfId="178" applyNumberFormat="1" applyFont="1" applyFill="1" applyBorder="1" applyAlignment="1" applyProtection="1">
      <alignment horizontal="right"/>
      <protection locked="0"/>
    </xf>
    <xf numFmtId="4" fontId="84" fillId="63" borderId="52" xfId="178" applyNumberFormat="1" applyFont="1" applyFill="1" applyBorder="1" applyAlignment="1" applyProtection="1">
      <alignment horizontal="right"/>
      <protection locked="0"/>
    </xf>
    <xf numFmtId="4" fontId="34" fillId="66" borderId="37" xfId="220" applyNumberFormat="1" applyFont="1" applyFill="1" applyBorder="1" applyAlignment="1" applyProtection="1">
      <alignment horizontal="right"/>
      <protection locked="0"/>
    </xf>
    <xf numFmtId="4" fontId="132" fillId="66" borderId="10" xfId="220" applyNumberFormat="1" applyFont="1" applyFill="1" applyBorder="1" applyAlignment="1" applyProtection="1">
      <alignment horizontal="right"/>
      <protection locked="0"/>
    </xf>
    <xf numFmtId="4" fontId="34" fillId="66" borderId="10" xfId="178" applyNumberFormat="1" applyFont="1" applyFill="1" applyBorder="1" applyAlignment="1" applyProtection="1">
      <alignment horizontal="right"/>
      <protection locked="0"/>
    </xf>
    <xf numFmtId="4" fontId="34" fillId="66" borderId="10" xfId="220" applyNumberFormat="1" applyFont="1" applyFill="1" applyBorder="1" applyAlignment="1" applyProtection="1">
      <alignment horizontal="right" wrapText="1"/>
      <protection locked="0"/>
    </xf>
    <xf numFmtId="173" fontId="40" fillId="63" borderId="42" xfId="220" applyFont="1" applyFill="1" applyBorder="1" applyAlignment="1" applyProtection="1">
      <alignment horizontal="right"/>
      <protection locked="0"/>
    </xf>
    <xf numFmtId="10" fontId="40" fillId="66" borderId="23" xfId="169" applyNumberFormat="1" applyFont="1" applyFill="1" applyBorder="1" applyAlignment="1" applyProtection="1">
      <alignment horizontal="center"/>
      <protection locked="0"/>
    </xf>
    <xf numFmtId="0" fontId="5" fillId="0" borderId="24" xfId="186" applyNumberFormat="1" applyFont="1" applyFill="1" applyBorder="1" applyAlignment="1" applyProtection="1">
      <alignment horizontal="left" vertical="center"/>
      <protection locked="0"/>
    </xf>
    <xf numFmtId="0" fontId="5" fillId="0" borderId="12" xfId="186" applyNumberFormat="1" applyFont="1" applyFill="1" applyBorder="1" applyAlignment="1" applyProtection="1">
      <alignment horizontal="left" vertical="center"/>
      <protection locked="0"/>
    </xf>
    <xf numFmtId="39" fontId="5" fillId="0" borderId="0" xfId="94" applyNumberFormat="1" applyFont="1" applyFill="1" applyBorder="1" applyAlignment="1" applyProtection="1">
      <alignment horizontal="center" wrapText="1"/>
      <protection locked="0"/>
    </xf>
    <xf numFmtId="172" fontId="47" fillId="0" borderId="25" xfId="94" applyFont="1" applyFill="1" applyBorder="1" applyAlignment="1" applyProtection="1">
      <alignment horizontal="center" vertical="center" wrapText="1"/>
      <protection locked="0"/>
    </xf>
    <xf numFmtId="172" fontId="47" fillId="0" borderId="11" xfId="94" applyFont="1" applyFill="1" applyBorder="1" applyAlignment="1" applyProtection="1">
      <alignment horizontal="center" vertical="center" wrapText="1"/>
      <protection locked="0"/>
    </xf>
    <xf numFmtId="49" fontId="40" fillId="0" borderId="17" xfId="139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39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13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40" fillId="0" borderId="17" xfId="186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18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136" applyNumberFormat="1" applyFont="1" applyFill="1" applyBorder="1" applyAlignment="1" applyProtection="1">
      <alignment horizontal="center" wrapText="1"/>
      <protection locked="0"/>
    </xf>
    <xf numFmtId="49" fontId="36" fillId="0" borderId="17" xfId="136" applyNumberFormat="1" applyFont="1" applyFill="1" applyBorder="1" applyAlignment="1" applyProtection="1">
      <alignment horizontal="left" vertical="center" wrapText="1"/>
      <protection locked="0"/>
    </xf>
    <xf numFmtId="49" fontId="36" fillId="0" borderId="0" xfId="136" applyNumberFormat="1" applyFont="1" applyFill="1" applyBorder="1" applyAlignment="1" applyProtection="1">
      <alignment horizontal="left" vertical="center" wrapText="1"/>
      <protection locked="0"/>
    </xf>
    <xf numFmtId="49" fontId="36" fillId="0" borderId="0" xfId="136" applyNumberFormat="1" applyFont="1" applyFill="1" applyBorder="1" applyAlignment="1" applyProtection="1">
      <alignment horizontal="center" wrapText="1"/>
      <protection locked="0"/>
    </xf>
    <xf numFmtId="0" fontId="2" fillId="0" borderId="54" xfId="117" applyFont="1" applyBorder="1" applyAlignment="1">
      <alignment horizontal="center"/>
    </xf>
    <xf numFmtId="0" fontId="2" fillId="0" borderId="37" xfId="117" applyFont="1" applyBorder="1" applyAlignment="1">
      <alignment horizontal="center"/>
    </xf>
    <xf numFmtId="0" fontId="46" fillId="61" borderId="38" xfId="117" applyFont="1" applyFill="1" applyBorder="1" applyAlignment="1">
      <alignment horizontal="center"/>
    </xf>
    <xf numFmtId="0" fontId="46" fillId="61" borderId="28" xfId="117" applyFont="1" applyFill="1" applyBorder="1" applyAlignment="1">
      <alignment horizontal="center"/>
    </xf>
    <xf numFmtId="0" fontId="46" fillId="62" borderId="27" xfId="117" applyFont="1" applyFill="1" applyBorder="1" applyAlignment="1">
      <alignment horizontal="center"/>
    </xf>
    <xf numFmtId="0" fontId="46" fillId="62" borderId="38" xfId="117" applyFont="1" applyFill="1" applyBorder="1" applyAlignment="1">
      <alignment horizontal="center"/>
    </xf>
    <xf numFmtId="0" fontId="46" fillId="0" borderId="10" xfId="117" applyFont="1" applyBorder="1" applyAlignment="1">
      <alignment horizontal="center"/>
    </xf>
    <xf numFmtId="39" fontId="5" fillId="0" borderId="12" xfId="94" applyNumberFormat="1" applyFont="1" applyFill="1" applyBorder="1" applyAlignment="1" applyProtection="1">
      <alignment horizontal="center" wrapText="1"/>
      <protection locked="0"/>
    </xf>
    <xf numFmtId="0" fontId="39" fillId="25" borderId="27" xfId="220" applyNumberFormat="1" applyFont="1" applyFill="1" applyBorder="1" applyAlignment="1">
      <alignment horizontal="center" vertical="center"/>
    </xf>
    <xf numFmtId="0" fontId="39" fillId="25" borderId="38" xfId="220" applyNumberFormat="1" applyFont="1" applyFill="1" applyBorder="1" applyAlignment="1">
      <alignment horizontal="center" vertical="center"/>
    </xf>
    <xf numFmtId="0" fontId="39" fillId="25" borderId="28" xfId="220" applyNumberFormat="1" applyFont="1" applyFill="1" applyBorder="1" applyAlignment="1">
      <alignment horizontal="center" vertical="center"/>
    </xf>
    <xf numFmtId="181" fontId="40" fillId="0" borderId="0" xfId="94" applyNumberFormat="1" applyFont="1" applyFill="1" applyBorder="1" applyAlignment="1" applyProtection="1">
      <alignment horizontal="center" wrapText="1"/>
      <protection locked="0"/>
    </xf>
    <xf numFmtId="172" fontId="54" fillId="0" borderId="25" xfId="94" applyFont="1" applyFill="1" applyBorder="1" applyAlignment="1" applyProtection="1">
      <alignment horizontal="center" vertical="center" wrapText="1"/>
      <protection locked="0"/>
    </xf>
    <xf numFmtId="172" fontId="54" fillId="0" borderId="11" xfId="94" applyFont="1" applyFill="1" applyBorder="1" applyAlignment="1" applyProtection="1">
      <alignment horizontal="center" vertical="center" wrapText="1"/>
      <protection locked="0"/>
    </xf>
    <xf numFmtId="49" fontId="47" fillId="0" borderId="17" xfId="139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139" applyNumberFormat="1" applyFont="1" applyFill="1" applyBorder="1" applyAlignment="1" applyProtection="1">
      <alignment horizontal="center" vertical="center" wrapText="1"/>
      <protection locked="0"/>
    </xf>
    <xf numFmtId="49" fontId="56" fillId="0" borderId="17" xfId="139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139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36" applyNumberFormat="1" applyFont="1" applyFill="1" applyBorder="1" applyAlignment="1" applyProtection="1">
      <alignment horizontal="center" wrapText="1"/>
      <protection locked="0"/>
    </xf>
    <xf numFmtId="49" fontId="63" fillId="0" borderId="17" xfId="136" applyNumberFormat="1" applyFont="1" applyFill="1" applyBorder="1" applyAlignment="1" applyProtection="1">
      <alignment horizontal="left" vertical="center" wrapText="1"/>
      <protection locked="0"/>
    </xf>
    <xf numFmtId="49" fontId="63" fillId="0" borderId="0" xfId="136" applyNumberFormat="1" applyFont="1" applyFill="1" applyBorder="1" applyAlignment="1" applyProtection="1">
      <alignment horizontal="left" vertical="center" wrapText="1"/>
      <protection locked="0"/>
    </xf>
    <xf numFmtId="49" fontId="63" fillId="0" borderId="0" xfId="136" applyNumberFormat="1" applyFont="1" applyFill="1" applyBorder="1" applyAlignment="1" applyProtection="1">
      <alignment horizontal="left" vertical="center"/>
      <protection locked="0"/>
    </xf>
    <xf numFmtId="49" fontId="63" fillId="0" borderId="17" xfId="136" applyNumberFormat="1" applyFont="1" applyFill="1" applyBorder="1" applyAlignment="1" applyProtection="1">
      <alignment horizontal="left" vertical="center"/>
      <protection locked="0"/>
    </xf>
    <xf numFmtId="49" fontId="63" fillId="0" borderId="0" xfId="136" applyNumberFormat="1" applyFont="1" applyFill="1" applyBorder="1" applyAlignment="1" applyProtection="1">
      <alignment horizontal="center" vertical="center"/>
      <protection locked="0"/>
    </xf>
    <xf numFmtId="0" fontId="4" fillId="25" borderId="37" xfId="0" applyFont="1" applyFill="1" applyBorder="1" applyAlignment="1">
      <alignment horizontal="center"/>
    </xf>
    <xf numFmtId="173" fontId="11" fillId="25" borderId="37" xfId="220" applyFont="1" applyFill="1" applyBorder="1" applyAlignment="1">
      <alignment horizontal="center" vertical="center" wrapText="1"/>
    </xf>
    <xf numFmtId="173" fontId="11" fillId="25" borderId="21" xfId="22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25" borderId="30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4" fillId="25" borderId="37" xfId="159" applyFont="1" applyFill="1" applyBorder="1" applyAlignment="1">
      <alignment horizontal="center" vertical="center" wrapText="1"/>
    </xf>
    <xf numFmtId="0" fontId="4" fillId="25" borderId="21" xfId="159" applyFont="1" applyFill="1" applyBorder="1" applyAlignment="1">
      <alignment horizontal="center" vertical="center" wrapText="1"/>
    </xf>
    <xf numFmtId="4" fontId="4" fillId="25" borderId="37" xfId="220" applyNumberFormat="1" applyFont="1" applyFill="1" applyBorder="1" applyAlignment="1">
      <alignment horizontal="center" vertical="center" wrapText="1"/>
    </xf>
    <xf numFmtId="4" fontId="4" fillId="25" borderId="21" xfId="220" applyNumberFormat="1" applyFont="1" applyFill="1" applyBorder="1" applyAlignment="1">
      <alignment horizontal="center" vertical="center" wrapText="1"/>
    </xf>
    <xf numFmtId="173" fontId="4" fillId="25" borderId="37" xfId="220" applyFont="1" applyFill="1" applyBorder="1" applyAlignment="1">
      <alignment horizontal="center" vertical="center" wrapText="1"/>
    </xf>
    <xf numFmtId="173" fontId="4" fillId="25" borderId="21" xfId="220" applyFont="1" applyFill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center"/>
    </xf>
    <xf numFmtId="181" fontId="40" fillId="0" borderId="12" xfId="94" applyNumberFormat="1" applyFont="1" applyFill="1" applyBorder="1" applyAlignment="1" applyProtection="1">
      <alignment horizontal="center" wrapText="1"/>
      <protection locked="0"/>
    </xf>
    <xf numFmtId="4" fontId="65" fillId="0" borderId="12" xfId="169" applyNumberFormat="1" applyFont="1" applyBorder="1" applyAlignment="1">
      <alignment horizontal="center" vertical="justify"/>
    </xf>
    <xf numFmtId="0" fontId="57" fillId="0" borderId="55" xfId="159" applyFont="1" applyFill="1" applyBorder="1" applyAlignment="1">
      <alignment horizontal="center" vertical="center"/>
    </xf>
    <xf numFmtId="0" fontId="57" fillId="0" borderId="56" xfId="159" applyFont="1" applyFill="1" applyBorder="1" applyAlignment="1">
      <alignment horizontal="center" vertical="center"/>
    </xf>
    <xf numFmtId="0" fontId="57" fillId="0" borderId="57" xfId="159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10" xfId="159" applyFont="1" applyFill="1" applyBorder="1" applyAlignment="1">
      <alignment horizontal="center" vertical="center" wrapText="1"/>
    </xf>
    <xf numFmtId="4" fontId="4" fillId="25" borderId="10" xfId="220" applyNumberFormat="1" applyFont="1" applyFill="1" applyBorder="1" applyAlignment="1">
      <alignment horizontal="center" vertical="center" wrapText="1"/>
    </xf>
    <xf numFmtId="173" fontId="4" fillId="25" borderId="10" xfId="220" applyFont="1" applyFill="1" applyBorder="1" applyAlignment="1">
      <alignment horizontal="center" vertical="center" wrapText="1"/>
    </xf>
    <xf numFmtId="173" fontId="11" fillId="25" borderId="10" xfId="220" applyFont="1" applyFill="1" applyBorder="1" applyAlignment="1">
      <alignment horizontal="center" vertical="center" wrapText="1"/>
    </xf>
    <xf numFmtId="10" fontId="64" fillId="0" borderId="0" xfId="169" applyNumberFormat="1" applyFont="1" applyBorder="1" applyAlignment="1">
      <alignment horizontal="center"/>
    </xf>
    <xf numFmtId="0" fontId="47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40" fillId="0" borderId="17" xfId="186" applyNumberFormat="1" applyFont="1" applyFill="1" applyBorder="1" applyAlignment="1" applyProtection="1">
      <alignment horizontal="left" vertical="center"/>
      <protection locked="0"/>
    </xf>
    <xf numFmtId="0" fontId="40" fillId="0" borderId="0" xfId="186" applyNumberFormat="1" applyFont="1" applyFill="1" applyBorder="1" applyAlignment="1" applyProtection="1">
      <alignment horizontal="left" vertical="center"/>
      <protection locked="0"/>
    </xf>
    <xf numFmtId="0" fontId="40" fillId="0" borderId="0" xfId="136" applyNumberFormat="1" applyFont="1" applyFill="1" applyBorder="1" applyAlignment="1" applyProtection="1">
      <alignment horizontal="center" wrapText="1"/>
      <protection locked="0"/>
    </xf>
    <xf numFmtId="0" fontId="45" fillId="0" borderId="25" xfId="154" applyFont="1" applyBorder="1" applyAlignment="1">
      <alignment horizontal="center" vertical="center"/>
    </xf>
    <xf numFmtId="0" fontId="45" fillId="0" borderId="11" xfId="154" applyFont="1" applyBorder="1" applyAlignment="1">
      <alignment horizontal="center" vertical="center"/>
    </xf>
    <xf numFmtId="0" fontId="45" fillId="0" borderId="24" xfId="154" applyFont="1" applyBorder="1" applyAlignment="1">
      <alignment horizontal="center" vertical="center"/>
    </xf>
    <xf numFmtId="0" fontId="45" fillId="0" borderId="12" xfId="154" applyFont="1" applyBorder="1" applyAlignment="1">
      <alignment horizontal="center" vertical="center"/>
    </xf>
    <xf numFmtId="10" fontId="45" fillId="27" borderId="13" xfId="154" applyNumberFormat="1" applyFont="1" applyFill="1" applyBorder="1" applyAlignment="1">
      <alignment horizontal="center" vertical="center"/>
    </xf>
    <xf numFmtId="10" fontId="45" fillId="27" borderId="15" xfId="154" applyNumberFormat="1" applyFont="1" applyFill="1" applyBorder="1" applyAlignment="1">
      <alignment horizontal="center" vertical="center"/>
    </xf>
    <xf numFmtId="10" fontId="2" fillId="0" borderId="61" xfId="154" applyNumberFormat="1" applyFont="1" applyFill="1" applyBorder="1" applyAlignment="1">
      <alignment horizontal="center" vertical="center"/>
    </xf>
    <xf numFmtId="10" fontId="2" fillId="0" borderId="62" xfId="154" applyNumberFormat="1" applyFont="1" applyFill="1" applyBorder="1" applyAlignment="1">
      <alignment horizontal="center" vertical="center"/>
    </xf>
    <xf numFmtId="10" fontId="2" fillId="0" borderId="0" xfId="259" applyNumberFormat="1" applyFont="1" applyBorder="1" applyAlignment="1">
      <alignment horizontal="center" vertical="center"/>
    </xf>
    <xf numFmtId="0" fontId="46" fillId="0" borderId="29" xfId="154" applyFont="1" applyFill="1" applyBorder="1" applyAlignment="1">
      <alignment horizontal="right" vertical="center"/>
    </xf>
    <xf numFmtId="0" fontId="46" fillId="0" borderId="21" xfId="154" applyFont="1" applyFill="1" applyBorder="1" applyAlignment="1">
      <alignment horizontal="right" vertical="center"/>
    </xf>
    <xf numFmtId="173" fontId="46" fillId="27" borderId="30" xfId="154" applyNumberFormat="1" applyFont="1" applyFill="1" applyBorder="1" applyAlignment="1">
      <alignment horizontal="center" vertical="center" wrapText="1"/>
    </xf>
    <xf numFmtId="173" fontId="46" fillId="27" borderId="37" xfId="154" applyNumberFormat="1" applyFont="1" applyFill="1" applyBorder="1" applyAlignment="1">
      <alignment horizontal="center" vertical="center" wrapText="1"/>
    </xf>
    <xf numFmtId="173" fontId="46" fillId="27" borderId="31" xfId="154" applyNumberFormat="1" applyFont="1" applyFill="1" applyBorder="1" applyAlignment="1">
      <alignment horizontal="center" vertical="center" wrapText="1"/>
    </xf>
    <xf numFmtId="173" fontId="46" fillId="27" borderId="18" xfId="154" applyNumberFormat="1" applyFont="1" applyFill="1" applyBorder="1" applyAlignment="1">
      <alignment horizontal="center" vertical="center" wrapText="1"/>
    </xf>
    <xf numFmtId="173" fontId="46" fillId="27" borderId="10" xfId="154" applyNumberFormat="1" applyFont="1" applyFill="1" applyBorder="1" applyAlignment="1">
      <alignment horizontal="center" vertical="center" wrapText="1"/>
    </xf>
    <xf numFmtId="173" fontId="46" fillId="27" borderId="16" xfId="154" applyNumberFormat="1" applyFont="1" applyFill="1" applyBorder="1" applyAlignment="1">
      <alignment horizontal="center" vertical="center" wrapText="1"/>
    </xf>
    <xf numFmtId="0" fontId="2" fillId="0" borderId="17" xfId="154" applyFont="1" applyFill="1" applyBorder="1" applyAlignment="1">
      <alignment horizontal="center" vertical="center"/>
    </xf>
    <xf numFmtId="0" fontId="2" fillId="0" borderId="0" xfId="154" applyFont="1" applyFill="1" applyBorder="1" applyAlignment="1">
      <alignment horizontal="center" vertical="center"/>
    </xf>
    <xf numFmtId="0" fontId="46" fillId="0" borderId="25" xfId="154" applyFont="1" applyFill="1" applyBorder="1" applyAlignment="1">
      <alignment horizontal="center" vertical="center"/>
    </xf>
    <xf numFmtId="0" fontId="46" fillId="0" borderId="11" xfId="154" applyFont="1" applyFill="1" applyBorder="1" applyAlignment="1">
      <alignment horizontal="center" vertical="center"/>
    </xf>
    <xf numFmtId="0" fontId="46" fillId="0" borderId="13" xfId="154" applyFont="1" applyFill="1" applyBorder="1" applyAlignment="1">
      <alignment horizontal="center" vertical="center"/>
    </xf>
    <xf numFmtId="0" fontId="46" fillId="0" borderId="24" xfId="154" applyFont="1" applyFill="1" applyBorder="1" applyAlignment="1">
      <alignment horizontal="center" vertical="center"/>
    </xf>
    <xf numFmtId="0" fontId="46" fillId="0" borderId="12" xfId="154" applyFont="1" applyFill="1" applyBorder="1" applyAlignment="1">
      <alignment horizontal="center" vertical="center"/>
    </xf>
    <xf numFmtId="0" fontId="46" fillId="0" borderId="15" xfId="154" applyFont="1" applyFill="1" applyBorder="1" applyAlignment="1">
      <alignment horizontal="center" vertical="center"/>
    </xf>
    <xf numFmtId="0" fontId="71" fillId="24" borderId="21" xfId="154" applyFont="1" applyFill="1" applyBorder="1" applyAlignment="1">
      <alignment horizontal="center" vertical="center"/>
    </xf>
    <xf numFmtId="10" fontId="68" fillId="0" borderId="32" xfId="259" applyNumberFormat="1" applyFont="1" applyBorder="1" applyAlignment="1">
      <alignment horizontal="center" vertical="center" wrapText="1"/>
    </xf>
    <xf numFmtId="10" fontId="68" fillId="0" borderId="58" xfId="259" applyNumberFormat="1" applyFont="1" applyBorder="1" applyAlignment="1">
      <alignment horizontal="center" vertical="center" wrapText="1"/>
    </xf>
    <xf numFmtId="0" fontId="95" fillId="0" borderId="34" xfId="154" applyFont="1" applyBorder="1" applyAlignment="1">
      <alignment horizontal="center" vertical="center" wrapText="1"/>
    </xf>
    <xf numFmtId="0" fontId="95" fillId="0" borderId="59" xfId="154" applyFont="1" applyBorder="1" applyAlignment="1">
      <alignment horizontal="center" vertical="center" wrapText="1"/>
    </xf>
    <xf numFmtId="0" fontId="95" fillId="0" borderId="35" xfId="154" applyFont="1" applyBorder="1" applyAlignment="1">
      <alignment horizontal="center" vertical="center" wrapText="1"/>
    </xf>
    <xf numFmtId="0" fontId="95" fillId="0" borderId="60" xfId="154" applyFont="1" applyBorder="1" applyAlignment="1">
      <alignment horizontal="center" vertical="center" wrapText="1"/>
    </xf>
    <xf numFmtId="0" fontId="2" fillId="0" borderId="32" xfId="154" applyFont="1" applyBorder="1" applyAlignment="1">
      <alignment horizontal="center" vertical="center"/>
    </xf>
    <xf numFmtId="0" fontId="2" fillId="0" borderId="40" xfId="154" applyFont="1" applyBorder="1" applyAlignment="1">
      <alignment horizontal="center" vertical="center"/>
    </xf>
    <xf numFmtId="0" fontId="2" fillId="0" borderId="34" xfId="154" applyFont="1" applyFill="1" applyBorder="1" applyAlignment="1">
      <alignment horizontal="left" vertical="center"/>
    </xf>
    <xf numFmtId="0" fontId="2" fillId="0" borderId="39" xfId="154" applyFont="1" applyFill="1" applyBorder="1" applyAlignment="1">
      <alignment horizontal="left" vertical="center"/>
    </xf>
    <xf numFmtId="10" fontId="2" fillId="28" borderId="35" xfId="259" applyNumberFormat="1" applyFont="1" applyFill="1" applyBorder="1" applyAlignment="1" applyProtection="1">
      <alignment horizontal="center" vertical="center"/>
      <protection locked="0"/>
    </xf>
    <xf numFmtId="10" fontId="2" fillId="28" borderId="41" xfId="259" applyNumberFormat="1" applyFont="1" applyFill="1" applyBorder="1" applyAlignment="1" applyProtection="1">
      <alignment horizontal="center" vertical="center"/>
      <protection locked="0"/>
    </xf>
    <xf numFmtId="10" fontId="2" fillId="0" borderId="61" xfId="259" applyNumberFormat="1" applyFont="1" applyBorder="1" applyAlignment="1">
      <alignment horizontal="center" vertical="center"/>
    </xf>
    <xf numFmtId="10" fontId="2" fillId="0" borderId="62" xfId="259" applyNumberFormat="1" applyFont="1" applyBorder="1" applyAlignment="1">
      <alignment horizontal="center" vertical="center"/>
    </xf>
    <xf numFmtId="10" fontId="2" fillId="0" borderId="44" xfId="259" applyNumberFormat="1" applyFont="1" applyBorder="1" applyAlignment="1">
      <alignment horizontal="center" vertical="center"/>
    </xf>
    <xf numFmtId="10" fontId="2" fillId="0" borderId="19" xfId="259" applyNumberFormat="1" applyFont="1" applyBorder="1" applyAlignment="1">
      <alignment horizontal="center" vertical="center"/>
    </xf>
    <xf numFmtId="10" fontId="2" fillId="0" borderId="45" xfId="259" applyNumberFormat="1" applyFont="1" applyBorder="1" applyAlignment="1">
      <alignment horizontal="center" vertical="center"/>
    </xf>
    <xf numFmtId="10" fontId="2" fillId="0" borderId="20" xfId="259" applyNumberFormat="1" applyFont="1" applyBorder="1" applyAlignment="1">
      <alignment horizontal="center" vertical="center"/>
    </xf>
    <xf numFmtId="0" fontId="2" fillId="0" borderId="17" xfId="154" applyFont="1" applyBorder="1" applyAlignment="1">
      <alignment horizontal="center" vertical="center"/>
    </xf>
    <xf numFmtId="0" fontId="2" fillId="0" borderId="0" xfId="154" applyFont="1" applyBorder="1" applyAlignment="1">
      <alignment horizontal="center" vertical="center"/>
    </xf>
    <xf numFmtId="0" fontId="46" fillId="0" borderId="37" xfId="154" applyFont="1" applyFill="1" applyBorder="1" applyAlignment="1">
      <alignment horizontal="justify" vertical="center" wrapText="1"/>
    </xf>
    <xf numFmtId="0" fontId="46" fillId="0" borderId="31" xfId="154" applyFont="1" applyFill="1" applyBorder="1" applyAlignment="1">
      <alignment horizontal="justify" vertical="center" wrapText="1"/>
    </xf>
    <xf numFmtId="49" fontId="71" fillId="27" borderId="25" xfId="154" applyNumberFormat="1" applyFont="1" applyFill="1" applyBorder="1" applyAlignment="1">
      <alignment horizontal="center" vertical="center" wrapText="1"/>
    </xf>
    <xf numFmtId="49" fontId="71" fillId="27" borderId="11" xfId="154" applyNumberFormat="1" applyFont="1" applyFill="1" applyBorder="1" applyAlignment="1">
      <alignment horizontal="center" vertical="center" wrapText="1"/>
    </xf>
    <xf numFmtId="49" fontId="71" fillId="27" borderId="13" xfId="154" applyNumberFormat="1" applyFont="1" applyFill="1" applyBorder="1" applyAlignment="1">
      <alignment horizontal="center" vertical="center" wrapText="1"/>
    </xf>
    <xf numFmtId="10" fontId="2" fillId="0" borderId="43" xfId="259" applyNumberFormat="1" applyFont="1" applyBorder="1" applyAlignment="1">
      <alignment horizontal="center" vertical="center"/>
    </xf>
    <xf numFmtId="10" fontId="2" fillId="0" borderId="54" xfId="259" applyNumberFormat="1" applyFont="1" applyBorder="1" applyAlignment="1">
      <alignment horizontal="center" vertical="center"/>
    </xf>
    <xf numFmtId="0" fontId="2" fillId="0" borderId="17" xfId="154" applyFont="1" applyBorder="1" applyAlignment="1">
      <alignment vertical="center"/>
    </xf>
    <xf numFmtId="0" fontId="2" fillId="0" borderId="0" xfId="154" applyFont="1" applyBorder="1" applyAlignment="1">
      <alignment vertical="center"/>
    </xf>
    <xf numFmtId="0" fontId="87" fillId="0" borderId="43" xfId="154" applyFont="1" applyBorder="1" applyAlignment="1">
      <alignment horizontal="center"/>
    </xf>
    <xf numFmtId="0" fontId="87" fillId="0" borderId="54" xfId="154" applyFont="1" applyBorder="1" applyAlignment="1">
      <alignment horizontal="center"/>
    </xf>
    <xf numFmtId="4" fontId="90" fillId="0" borderId="0" xfId="154" applyNumberFormat="1" applyFont="1" applyAlignment="1">
      <alignment horizontal="center" wrapText="1"/>
    </xf>
    <xf numFmtId="49" fontId="75" fillId="27" borderId="27" xfId="154" applyNumberFormat="1" applyFont="1" applyFill="1" applyBorder="1" applyAlignment="1">
      <alignment horizontal="center" vertical="center"/>
    </xf>
    <xf numFmtId="49" fontId="75" fillId="27" borderId="38" xfId="154" applyNumberFormat="1" applyFont="1" applyFill="1" applyBorder="1" applyAlignment="1">
      <alignment horizontal="center" vertical="center"/>
    </xf>
    <xf numFmtId="49" fontId="75" fillId="27" borderId="28" xfId="154" applyNumberFormat="1" applyFont="1" applyFill="1" applyBorder="1" applyAlignment="1">
      <alignment horizontal="center" vertical="center"/>
    </xf>
    <xf numFmtId="49" fontId="71" fillId="27" borderId="30" xfId="154" applyNumberFormat="1" applyFont="1" applyFill="1" applyBorder="1" applyAlignment="1">
      <alignment horizontal="center" vertical="center" wrapText="1"/>
    </xf>
    <xf numFmtId="49" fontId="71" fillId="27" borderId="37" xfId="154" applyNumberFormat="1" applyFont="1" applyFill="1" applyBorder="1" applyAlignment="1">
      <alignment horizontal="center" vertical="center" wrapText="1"/>
    </xf>
    <xf numFmtId="49" fontId="71" fillId="27" borderId="43" xfId="154" applyNumberFormat="1" applyFont="1" applyFill="1" applyBorder="1" applyAlignment="1">
      <alignment horizontal="center" vertical="center" wrapText="1"/>
    </xf>
    <xf numFmtId="49" fontId="71" fillId="27" borderId="31" xfId="154" applyNumberFormat="1" applyFont="1" applyFill="1" applyBorder="1" applyAlignment="1">
      <alignment horizontal="center" vertical="center" wrapText="1"/>
    </xf>
    <xf numFmtId="49" fontId="71" fillId="27" borderId="18" xfId="154" applyNumberFormat="1" applyFont="1" applyFill="1" applyBorder="1" applyAlignment="1">
      <alignment horizontal="center" vertical="center" wrapText="1"/>
    </xf>
    <xf numFmtId="49" fontId="71" fillId="27" borderId="10" xfId="154" applyNumberFormat="1" applyFont="1" applyFill="1" applyBorder="1" applyAlignment="1">
      <alignment horizontal="center" vertical="center" wrapText="1"/>
    </xf>
    <xf numFmtId="49" fontId="71" fillId="27" borderId="44" xfId="154" applyNumberFormat="1" applyFont="1" applyFill="1" applyBorder="1" applyAlignment="1">
      <alignment horizontal="center" vertical="center" wrapText="1"/>
    </xf>
    <xf numFmtId="49" fontId="71" fillId="27" borderId="16" xfId="154" applyNumberFormat="1" applyFont="1" applyFill="1" applyBorder="1" applyAlignment="1">
      <alignment horizontal="center" vertical="center" wrapText="1"/>
    </xf>
    <xf numFmtId="0" fontId="71" fillId="0" borderId="40" xfId="154" applyFont="1" applyFill="1" applyBorder="1" applyAlignment="1">
      <alignment horizontal="center" vertical="center"/>
    </xf>
    <xf numFmtId="0" fontId="71" fillId="0" borderId="29" xfId="154" applyFont="1" applyFill="1" applyBorder="1" applyAlignment="1">
      <alignment horizontal="center" vertical="center"/>
    </xf>
    <xf numFmtId="0" fontId="71" fillId="0" borderId="39" xfId="154" applyFont="1" applyFill="1" applyBorder="1" applyAlignment="1">
      <alignment horizontal="center" vertical="center"/>
    </xf>
    <xf numFmtId="0" fontId="71" fillId="0" borderId="21" xfId="154" applyFont="1" applyFill="1" applyBorder="1" applyAlignment="1">
      <alignment horizontal="center" vertical="center"/>
    </xf>
    <xf numFmtId="0" fontId="71" fillId="0" borderId="41" xfId="154" applyFont="1" applyFill="1" applyBorder="1" applyAlignment="1">
      <alignment horizontal="center" vertical="center"/>
    </xf>
    <xf numFmtId="0" fontId="71" fillId="0" borderId="22" xfId="154" applyFont="1" applyFill="1" applyBorder="1" applyAlignment="1">
      <alignment horizontal="center" vertical="center"/>
    </xf>
    <xf numFmtId="0" fontId="71" fillId="24" borderId="45" xfId="154" applyFont="1" applyFill="1" applyBorder="1" applyAlignment="1">
      <alignment horizontal="center" vertical="center"/>
    </xf>
    <xf numFmtId="0" fontId="71" fillId="24" borderId="20" xfId="154" applyFont="1" applyFill="1" applyBorder="1" applyAlignment="1">
      <alignment horizontal="center" vertical="center"/>
    </xf>
    <xf numFmtId="0" fontId="43" fillId="27" borderId="25" xfId="154" applyFont="1" applyFill="1" applyBorder="1" applyAlignment="1">
      <alignment horizontal="center" vertical="center"/>
    </xf>
    <xf numFmtId="0" fontId="43" fillId="27" borderId="11" xfId="154" applyFont="1" applyFill="1" applyBorder="1" applyAlignment="1">
      <alignment horizontal="center" vertical="center"/>
    </xf>
    <xf numFmtId="0" fontId="43" fillId="27" borderId="13" xfId="154" applyFont="1" applyFill="1" applyBorder="1" applyAlignment="1">
      <alignment horizontal="center" vertical="center"/>
    </xf>
    <xf numFmtId="0" fontId="43" fillId="27" borderId="24" xfId="154" applyFont="1" applyFill="1" applyBorder="1" applyAlignment="1">
      <alignment horizontal="center" vertical="center"/>
    </xf>
    <xf numFmtId="0" fontId="43" fillId="27" borderId="12" xfId="154" applyFont="1" applyFill="1" applyBorder="1" applyAlignment="1">
      <alignment horizontal="center" vertical="center"/>
    </xf>
    <xf numFmtId="0" fontId="43" fillId="27" borderId="15" xfId="154" applyFont="1" applyFill="1" applyBorder="1" applyAlignment="1">
      <alignment horizontal="center" vertical="center"/>
    </xf>
    <xf numFmtId="0" fontId="68" fillId="0" borderId="0" xfId="154" applyFont="1" applyFill="1" applyBorder="1" applyAlignment="1">
      <alignment horizontal="center" vertical="center" textRotation="90"/>
    </xf>
    <xf numFmtId="0" fontId="46" fillId="27" borderId="27" xfId="154" applyFont="1" applyFill="1" applyBorder="1" applyAlignment="1">
      <alignment horizontal="left" vertical="center" wrapText="1"/>
    </xf>
    <xf numFmtId="0" fontId="46" fillId="27" borderId="28" xfId="154" applyFont="1" applyFill="1" applyBorder="1" applyAlignment="1">
      <alignment horizontal="left" vertical="center" wrapText="1"/>
    </xf>
    <xf numFmtId="0" fontId="46" fillId="27" borderId="33" xfId="154" applyFont="1" applyFill="1" applyBorder="1" applyAlignment="1">
      <alignment horizontal="left" vertical="center"/>
    </xf>
    <xf numFmtId="0" fontId="46" fillId="27" borderId="42" xfId="154" applyFont="1" applyFill="1" applyBorder="1" applyAlignment="1">
      <alignment horizontal="left" vertical="center"/>
    </xf>
    <xf numFmtId="178" fontId="70" fillId="0" borderId="0" xfId="154" applyNumberFormat="1" applyFont="1" applyFill="1" applyBorder="1" applyAlignment="1">
      <alignment horizontal="center" vertical="center"/>
    </xf>
    <xf numFmtId="0" fontId="45" fillId="0" borderId="27" xfId="117" applyFont="1" applyFill="1" applyBorder="1" applyAlignment="1">
      <alignment horizontal="center"/>
    </xf>
    <xf numFmtId="0" fontId="45" fillId="0" borderId="38" xfId="117" applyFont="1" applyFill="1" applyBorder="1" applyAlignment="1">
      <alignment horizontal="center"/>
    </xf>
    <xf numFmtId="0" fontId="45" fillId="0" borderId="25" xfId="117" applyFont="1" applyFill="1" applyBorder="1" applyAlignment="1">
      <alignment horizontal="center"/>
    </xf>
    <xf numFmtId="0" fontId="45" fillId="0" borderId="11" xfId="117" applyFont="1" applyFill="1" applyBorder="1" applyAlignment="1">
      <alignment horizontal="center"/>
    </xf>
    <xf numFmtId="0" fontId="45" fillId="0" borderId="13" xfId="117" applyFont="1" applyFill="1" applyBorder="1" applyAlignment="1">
      <alignment horizontal="center"/>
    </xf>
    <xf numFmtId="0" fontId="2" fillId="0" borderId="30" xfId="117" applyFont="1" applyFill="1" applyBorder="1" applyAlignment="1">
      <alignment horizontal="center"/>
    </xf>
    <xf numFmtId="0" fontId="2" fillId="0" borderId="37" xfId="117" applyFill="1" applyBorder="1" applyAlignment="1">
      <alignment horizontal="center"/>
    </xf>
    <xf numFmtId="0" fontId="2" fillId="0" borderId="37" xfId="117" applyFont="1" applyFill="1" applyBorder="1" applyAlignment="1">
      <alignment horizontal="left"/>
    </xf>
    <xf numFmtId="0" fontId="2" fillId="0" borderId="29" xfId="117" applyFont="1" applyFill="1" applyBorder="1" applyAlignment="1">
      <alignment horizontal="center"/>
    </xf>
    <xf numFmtId="0" fontId="2" fillId="0" borderId="21" xfId="117" applyFill="1" applyBorder="1" applyAlignment="1">
      <alignment horizontal="center"/>
    </xf>
    <xf numFmtId="0" fontId="2" fillId="0" borderId="21" xfId="117" applyFont="1" applyFill="1" applyBorder="1" applyAlignment="1">
      <alignment horizontal="left" vertical="center" wrapText="1"/>
    </xf>
    <xf numFmtId="0" fontId="45" fillId="0" borderId="24" xfId="117" applyFont="1" applyFill="1" applyBorder="1" applyAlignment="1">
      <alignment horizontal="center"/>
    </xf>
    <xf numFmtId="0" fontId="45" fillId="0" borderId="12" xfId="117" applyFont="1" applyFill="1" applyBorder="1" applyAlignment="1">
      <alignment horizontal="center"/>
    </xf>
    <xf numFmtId="0" fontId="2" fillId="0" borderId="18" xfId="117" applyFont="1" applyFill="1" applyBorder="1" applyAlignment="1">
      <alignment horizontal="center"/>
    </xf>
    <xf numFmtId="0" fontId="2" fillId="0" borderId="10" xfId="117" applyFill="1" applyBorder="1" applyAlignment="1">
      <alignment horizontal="center"/>
    </xf>
    <xf numFmtId="0" fontId="2" fillId="0" borderId="10" xfId="117" applyFont="1" applyFill="1" applyBorder="1" applyAlignment="1">
      <alignment horizontal="left"/>
    </xf>
    <xf numFmtId="0" fontId="2" fillId="0" borderId="21" xfId="117" applyFont="1" applyFill="1" applyBorder="1" applyAlignment="1">
      <alignment horizontal="left"/>
    </xf>
    <xf numFmtId="0" fontId="77" fillId="0" borderId="27" xfId="117" applyFont="1" applyBorder="1" applyAlignment="1">
      <alignment horizontal="center" wrapText="1"/>
    </xf>
    <xf numFmtId="0" fontId="77" fillId="0" borderId="38" xfId="117" applyFont="1" applyBorder="1" applyAlignment="1">
      <alignment horizontal="center" wrapText="1"/>
    </xf>
    <xf numFmtId="0" fontId="77" fillId="0" borderId="28" xfId="117" applyFont="1" applyBorder="1" applyAlignment="1">
      <alignment horizontal="center" wrapText="1"/>
    </xf>
    <xf numFmtId="0" fontId="45" fillId="0" borderId="27" xfId="117" applyFont="1" applyBorder="1" applyAlignment="1">
      <alignment horizontal="center"/>
    </xf>
    <xf numFmtId="0" fontId="45" fillId="0" borderId="38" xfId="117" applyFont="1" applyBorder="1" applyAlignment="1">
      <alignment horizontal="center"/>
    </xf>
    <xf numFmtId="0" fontId="45" fillId="0" borderId="28" xfId="117" applyFont="1" applyBorder="1" applyAlignment="1">
      <alignment horizontal="center"/>
    </xf>
    <xf numFmtId="0" fontId="50" fillId="0" borderId="25" xfId="117" applyFont="1" applyFill="1" applyBorder="1" applyAlignment="1">
      <alignment horizontal="center" vertical="center"/>
    </xf>
    <xf numFmtId="0" fontId="50" fillId="0" borderId="13" xfId="117" applyFont="1" applyFill="1" applyBorder="1" applyAlignment="1">
      <alignment horizontal="center" vertical="center"/>
    </xf>
    <xf numFmtId="0" fontId="50" fillId="0" borderId="17" xfId="117" applyFont="1" applyFill="1" applyBorder="1" applyAlignment="1">
      <alignment horizontal="center" vertical="center"/>
    </xf>
    <xf numFmtId="0" fontId="50" fillId="0" borderId="14" xfId="117" applyFont="1" applyFill="1" applyBorder="1" applyAlignment="1">
      <alignment horizontal="center" vertical="center"/>
    </xf>
    <xf numFmtId="0" fontId="50" fillId="0" borderId="24" xfId="117" applyFont="1" applyFill="1" applyBorder="1" applyAlignment="1">
      <alignment horizontal="center" vertical="center"/>
    </xf>
    <xf numFmtId="0" fontId="50" fillId="0" borderId="15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/>
    </xf>
    <xf numFmtId="0" fontId="2" fillId="0" borderId="11" xfId="117" applyFill="1" applyBorder="1" applyAlignment="1">
      <alignment horizontal="center" vertical="center"/>
    </xf>
    <xf numFmtId="0" fontId="2" fillId="0" borderId="17" xfId="117" applyFill="1" applyBorder="1" applyAlignment="1">
      <alignment horizontal="center" vertical="center"/>
    </xf>
    <xf numFmtId="0" fontId="2" fillId="0" borderId="0" xfId="117" applyFill="1" applyBorder="1" applyAlignment="1">
      <alignment horizontal="center" vertical="center"/>
    </xf>
    <xf numFmtId="0" fontId="2" fillId="0" borderId="24" xfId="117" applyFill="1" applyBorder="1" applyAlignment="1">
      <alignment horizontal="center" vertical="center"/>
    </xf>
    <xf numFmtId="0" fontId="2" fillId="0" borderId="12" xfId="117" applyFill="1" applyBorder="1" applyAlignment="1">
      <alignment horizontal="center" vertical="center"/>
    </xf>
    <xf numFmtId="0" fontId="2" fillId="0" borderId="27" xfId="117" applyFont="1" applyFill="1" applyBorder="1" applyAlignment="1">
      <alignment horizontal="center"/>
    </xf>
    <xf numFmtId="0" fontId="2" fillId="0" borderId="28" xfId="117" applyFont="1" applyFill="1" applyBorder="1" applyAlignment="1">
      <alignment horizontal="center"/>
    </xf>
    <xf numFmtId="0" fontId="2" fillId="0" borderId="28" xfId="117" applyFill="1" applyBorder="1" applyAlignment="1">
      <alignment horizontal="center"/>
    </xf>
    <xf numFmtId="0" fontId="2" fillId="0" borderId="63" xfId="117" applyFont="1" applyFill="1" applyBorder="1" applyAlignment="1">
      <alignment horizontal="center" wrapText="1"/>
    </xf>
    <xf numFmtId="0" fontId="2" fillId="0" borderId="64" xfId="117" applyFill="1" applyBorder="1" applyAlignment="1">
      <alignment horizontal="center" wrapText="1"/>
    </xf>
    <xf numFmtId="172" fontId="47" fillId="0" borderId="0" xfId="94" applyFont="1" applyFill="1" applyBorder="1" applyAlignment="1" applyProtection="1">
      <alignment horizontal="center" vertical="center" wrapText="1"/>
      <protection locked="0"/>
    </xf>
  </cellXfs>
  <cellStyles count="274">
    <cellStyle name="0,0_x000d__x000a_NA_x000d__x000a_" xfId="1"/>
    <cellStyle name="20% - Ênfase1" xfId="2" builtinId="30" customBuiltin="1"/>
    <cellStyle name="20% - Ênfase1 2" xfId="3"/>
    <cellStyle name="20% - Ênfase1 3" xfId="4"/>
    <cellStyle name="20% - Ênfase2" xfId="5" builtinId="34" customBuiltin="1"/>
    <cellStyle name="20% - Ênfase2 2" xfId="6"/>
    <cellStyle name="20% - Ênfase2 3" xfId="7"/>
    <cellStyle name="20% - Ênfase3" xfId="8" builtinId="38" customBuiltin="1"/>
    <cellStyle name="20% - Ênfase3 2" xfId="9"/>
    <cellStyle name="20% - Ênfase3 3" xfId="10"/>
    <cellStyle name="20% - Ênfase4" xfId="11" builtinId="42" customBuiltin="1"/>
    <cellStyle name="20% - Ênfase4 2" xfId="12"/>
    <cellStyle name="20% - Ênfase4 3" xfId="13"/>
    <cellStyle name="20% - Ênfase5" xfId="14" builtinId="46" customBuiltin="1"/>
    <cellStyle name="20% - Ênfase5 2" xfId="15"/>
    <cellStyle name="20% - Ênfase5 3" xfId="16"/>
    <cellStyle name="20% - Ênfase6" xfId="17" builtinId="50" customBuiltin="1"/>
    <cellStyle name="20% - Ênfase6 2" xfId="18"/>
    <cellStyle name="20% - Ênfase6 3" xfId="19"/>
    <cellStyle name="40% - Ênfase1" xfId="20" builtinId="31" customBuiltin="1"/>
    <cellStyle name="40% - Ênfase1 2" xfId="21"/>
    <cellStyle name="40% - Ênfase1 3" xfId="22"/>
    <cellStyle name="40% - Ênfase2" xfId="23" builtinId="35" customBuiltin="1"/>
    <cellStyle name="40% - Ênfase2 2" xfId="24"/>
    <cellStyle name="40% - Ênfase2 3" xfId="25"/>
    <cellStyle name="40% - Ênfase3" xfId="26" builtinId="39" customBuiltin="1"/>
    <cellStyle name="40% - Ênfase3 2" xfId="27"/>
    <cellStyle name="40% - Ênfase3 3" xfId="28"/>
    <cellStyle name="40% - Ênfase4" xfId="29" builtinId="43" customBuiltin="1"/>
    <cellStyle name="40% - Ênfase4 2" xfId="30"/>
    <cellStyle name="40% - Ênfase4 3" xfId="31"/>
    <cellStyle name="40% - Ênfase5" xfId="32" builtinId="47" customBuiltin="1"/>
    <cellStyle name="40% - Ênfase5 2" xfId="33"/>
    <cellStyle name="40% - Ênfase5 3" xfId="34"/>
    <cellStyle name="40% - Ênfase6" xfId="35" builtinId="51" customBuiltin="1"/>
    <cellStyle name="40% - Ênfase6 2" xfId="36"/>
    <cellStyle name="40% - Ênfase6 3" xfId="37"/>
    <cellStyle name="60% - Ênfase1" xfId="38" builtinId="32" customBuiltin="1"/>
    <cellStyle name="60% - Ênfase1 2" xfId="39"/>
    <cellStyle name="60% - Ênfase1 3" xfId="40"/>
    <cellStyle name="60% - Ênfase2" xfId="41" builtinId="36" customBuiltin="1"/>
    <cellStyle name="60% - Ênfase2 2" xfId="42"/>
    <cellStyle name="60% - Ênfase2 3" xfId="43"/>
    <cellStyle name="60% - Ênfase3" xfId="44" builtinId="40" customBuiltin="1"/>
    <cellStyle name="60% - Ênfase3 2" xfId="45"/>
    <cellStyle name="60% - Ênfase3 3" xfId="46"/>
    <cellStyle name="60% - Ênfase4" xfId="47" builtinId="44" customBuiltin="1"/>
    <cellStyle name="60% - Ênfase4 2" xfId="48"/>
    <cellStyle name="60% - Ênfase4 3" xfId="49"/>
    <cellStyle name="60% - Ênfase5" xfId="50" builtinId="48" customBuiltin="1"/>
    <cellStyle name="60% - Ênfase5 2" xfId="51"/>
    <cellStyle name="60% - Ênfase5 3" xfId="52"/>
    <cellStyle name="60% - Ênfase6" xfId="53" builtinId="52" customBuiltin="1"/>
    <cellStyle name="60% - Ênfase6 2" xfId="54"/>
    <cellStyle name="60% - Ênfase6 3" xfId="55"/>
    <cellStyle name="Bom" xfId="56" builtinId="26" customBuiltin="1"/>
    <cellStyle name="Bom 2" xfId="57"/>
    <cellStyle name="Bom 3" xfId="58"/>
    <cellStyle name="Cálculo" xfId="59" builtinId="22" customBuiltin="1"/>
    <cellStyle name="Cálculo 2" xfId="60"/>
    <cellStyle name="Cálculo 3" xfId="61"/>
    <cellStyle name="Célula de Verificação" xfId="62" builtinId="23" customBuiltin="1"/>
    <cellStyle name="Célula de Verificação 2" xfId="63"/>
    <cellStyle name="Célula de Verificação 3" xfId="64"/>
    <cellStyle name="Célula Vinculada" xfId="65" builtinId="24" customBuiltin="1"/>
    <cellStyle name="Célula Vinculada 2" xfId="66"/>
    <cellStyle name="Célula Vinculada 3" xfId="67"/>
    <cellStyle name="Ênfase1" xfId="68" builtinId="29" customBuiltin="1"/>
    <cellStyle name="Ênfase1 2" xfId="69"/>
    <cellStyle name="Ênfase1 3" xfId="70"/>
    <cellStyle name="Ênfase2" xfId="71" builtinId="33" customBuiltin="1"/>
    <cellStyle name="Ênfase2 2" xfId="72"/>
    <cellStyle name="Ênfase2 3" xfId="73"/>
    <cellStyle name="Ênfase3" xfId="74" builtinId="37" customBuiltin="1"/>
    <cellStyle name="Ênfase3 2" xfId="75"/>
    <cellStyle name="Ênfase3 3" xfId="76"/>
    <cellStyle name="Ênfase4" xfId="77" builtinId="41" customBuiltin="1"/>
    <cellStyle name="Ênfase4 2" xfId="78"/>
    <cellStyle name="Ênfase4 3" xfId="79"/>
    <cellStyle name="Ênfase5" xfId="80" builtinId="45" customBuiltin="1"/>
    <cellStyle name="Ênfase5 2" xfId="81"/>
    <cellStyle name="Ênfase5 3" xfId="82"/>
    <cellStyle name="Ênfase6" xfId="83" builtinId="49" customBuiltin="1"/>
    <cellStyle name="Ênfase6 2" xfId="84"/>
    <cellStyle name="Ênfase6 3" xfId="85"/>
    <cellStyle name="Entrada" xfId="86" builtinId="20" customBuiltin="1"/>
    <cellStyle name="Entrada 2" xfId="87"/>
    <cellStyle name="Entrada 3" xfId="88"/>
    <cellStyle name="Incorreto 2" xfId="89"/>
    <cellStyle name="Incorreto 3" xfId="90"/>
    <cellStyle name="Indefinido" xfId="91"/>
    <cellStyle name="Moeda" xfId="92" builtinId="4"/>
    <cellStyle name="Moeda 2" xfId="93"/>
    <cellStyle name="Moeda 2 2" xfId="94"/>
    <cellStyle name="Moeda 2 2 2" xfId="95"/>
    <cellStyle name="Moeda 2 3" xfId="96"/>
    <cellStyle name="Moeda 2 4" xfId="97"/>
    <cellStyle name="Moeda 2 5" xfId="98"/>
    <cellStyle name="Moeda 2 5 2" xfId="99"/>
    <cellStyle name="Moeda 2 5 2 2" xfId="100"/>
    <cellStyle name="Moeda 2 5 3" xfId="101"/>
    <cellStyle name="Moeda 2 6" xfId="102"/>
    <cellStyle name="Moeda 2 6 2" xfId="103"/>
    <cellStyle name="Moeda 2 6 2 2" xfId="104"/>
    <cellStyle name="Moeda 2 6 3" xfId="105"/>
    <cellStyle name="Moeda 2 6 3 2" xfId="106"/>
    <cellStyle name="Moeda 2 6 4" xfId="107"/>
    <cellStyle name="Moeda 3" xfId="108"/>
    <cellStyle name="Moeda 3 2" xfId="109"/>
    <cellStyle name="Moeda 4" xfId="110"/>
    <cellStyle name="Moeda 7" xfId="111"/>
    <cellStyle name="Neutra 2" xfId="112"/>
    <cellStyle name="Neutra 3" xfId="113"/>
    <cellStyle name="Normal" xfId="0" builtinId="0"/>
    <cellStyle name="Normal 10 2" xfId="114"/>
    <cellStyle name="Normal 11" xfId="115"/>
    <cellStyle name="Normal 2" xfId="116"/>
    <cellStyle name="Normal 2 2" xfId="117"/>
    <cellStyle name="Normal 2 2 2" xfId="118"/>
    <cellStyle name="Normal 2 3" xfId="119"/>
    <cellStyle name="Normal 2 4" xfId="120"/>
    <cellStyle name="Normal 3" xfId="121"/>
    <cellStyle name="Normal 3 2" xfId="122"/>
    <cellStyle name="Normal 3 3" xfId="123"/>
    <cellStyle name="Normal 4" xfId="124"/>
    <cellStyle name="Normal 4 10" xfId="125"/>
    <cellStyle name="Normal 4 10 2" xfId="126"/>
    <cellStyle name="Normal 4 11" xfId="127"/>
    <cellStyle name="Normal 4 12" xfId="128"/>
    <cellStyle name="Normal 4 12 2" xfId="129"/>
    <cellStyle name="Normal 4 13" xfId="130"/>
    <cellStyle name="Normal 4 13 2" xfId="131"/>
    <cellStyle name="Normal 4 14" xfId="132"/>
    <cellStyle name="Normal 4 14 2" xfId="133"/>
    <cellStyle name="Normal 4 15" xfId="134"/>
    <cellStyle name="Normal 4 15 2" xfId="135"/>
    <cellStyle name="Normal 4 2" xfId="136"/>
    <cellStyle name="Normal 4 2 2" xfId="137"/>
    <cellStyle name="Normal 4 2 3" xfId="138"/>
    <cellStyle name="Normal 4 3" xfId="139"/>
    <cellStyle name="Normal 4 4" xfId="140"/>
    <cellStyle name="Normal 4 4 2" xfId="141"/>
    <cellStyle name="Normal 4 4 3" xfId="142"/>
    <cellStyle name="Normal 4 5" xfId="143"/>
    <cellStyle name="Normal 4 5 2" xfId="144"/>
    <cellStyle name="Normal 4 6" xfId="145"/>
    <cellStyle name="Normal 4 7" xfId="146"/>
    <cellStyle name="Normal 4 7 2" xfId="147"/>
    <cellStyle name="Normal 4 7 3" xfId="148"/>
    <cellStyle name="Normal 4 8" xfId="149"/>
    <cellStyle name="Normal 4 8 2" xfId="150"/>
    <cellStyle name="Normal 4 9" xfId="151"/>
    <cellStyle name="Normal 5" xfId="152"/>
    <cellStyle name="Normal 5 2" xfId="153"/>
    <cellStyle name="Normal 6" xfId="154"/>
    <cellStyle name="Normal 6 2" xfId="155"/>
    <cellStyle name="Normal 7" xfId="156"/>
    <cellStyle name="Normal 7 2" xfId="157"/>
    <cellStyle name="Normal_Pesquisa no referencial 10 de maio de 2013" xfId="158"/>
    <cellStyle name="Normal_Relação de material_ESTACIONAMENTO_PAF_I" xfId="159"/>
    <cellStyle name="Nota" xfId="160" builtinId="10" customBuiltin="1"/>
    <cellStyle name="Nota 2" xfId="161"/>
    <cellStyle name="Nota 3" xfId="162"/>
    <cellStyle name="Nota 4" xfId="163"/>
    <cellStyle name="Nota 5" xfId="164"/>
    <cellStyle name="Nota 5 2" xfId="165"/>
    <cellStyle name="Nota 6" xfId="166"/>
    <cellStyle name="Nota 6 2" xfId="167"/>
    <cellStyle name="Nota 6 3" xfId="168"/>
    <cellStyle name="Porcentagem" xfId="169" builtinId="5"/>
    <cellStyle name="Porcentagem 2" xfId="170"/>
    <cellStyle name="Porcentagem 3" xfId="171"/>
    <cellStyle name="Porcentagem 4" xfId="172"/>
    <cellStyle name="Saída" xfId="173" builtinId="21" customBuiltin="1"/>
    <cellStyle name="Saída 2" xfId="174"/>
    <cellStyle name="Saída 3" xfId="175"/>
    <cellStyle name="Separador de m" xfId="176"/>
    <cellStyle name="Separador de milhares 2" xfId="177"/>
    <cellStyle name="Separador de milhares 2 2" xfId="178"/>
    <cellStyle name="Separador de milhares 2 2 2" xfId="179"/>
    <cellStyle name="Separador de milhares 2 2 2 2" xfId="180"/>
    <cellStyle name="Separador de milhares 2 2 3" xfId="181"/>
    <cellStyle name="Separador de milhares 2 3" xfId="182"/>
    <cellStyle name="Separador de milhares 2 3 2" xfId="183"/>
    <cellStyle name="Separador de milhares 2 3 2 2" xfId="184"/>
    <cellStyle name="Separador de milhares 3" xfId="185"/>
    <cellStyle name="Separador de milhares 3 2" xfId="186"/>
    <cellStyle name="Separador de milhares 3 2 2" xfId="187"/>
    <cellStyle name="Separador de milhares 3 3" xfId="188"/>
    <cellStyle name="Separador de milhares 8" xfId="189"/>
    <cellStyle name="Separador de milhares 8 2" xfId="190"/>
    <cellStyle name="Separador de milhares 9" xfId="191"/>
    <cellStyle name="Separador de milhares 9 2" xfId="192"/>
    <cellStyle name="Texto de Aviso" xfId="193" builtinId="11" customBuiltin="1"/>
    <cellStyle name="Texto de Aviso 2" xfId="194"/>
    <cellStyle name="Texto de Aviso 3" xfId="195"/>
    <cellStyle name="Texto Explicativo" xfId="196" builtinId="53" customBuiltin="1"/>
    <cellStyle name="Texto Explicativo 2" xfId="197"/>
    <cellStyle name="Texto Explicativo 3" xfId="198"/>
    <cellStyle name="Título" xfId="199" builtinId="15" customBuiltin="1"/>
    <cellStyle name="Título 1" xfId="200" builtinId="16" customBuiltin="1"/>
    <cellStyle name="Título 1 2" xfId="201"/>
    <cellStyle name="Título 1 3" xfId="202"/>
    <cellStyle name="Título 2" xfId="203" builtinId="17" customBuiltin="1"/>
    <cellStyle name="Título 2 2" xfId="204"/>
    <cellStyle name="Título 2 3" xfId="205"/>
    <cellStyle name="Título 3" xfId="206" builtinId="18" customBuiltin="1"/>
    <cellStyle name="Título 3 2" xfId="207"/>
    <cellStyle name="Título 3 3" xfId="208"/>
    <cellStyle name="Título 4" xfId="209" builtinId="19" customBuiltin="1"/>
    <cellStyle name="Título 4 2" xfId="210"/>
    <cellStyle name="Título 4 3" xfId="211"/>
    <cellStyle name="Título 5" xfId="212"/>
    <cellStyle name="Título 5 2" xfId="213"/>
    <cellStyle name="Título 6" xfId="214"/>
    <cellStyle name="Título 7" xfId="215"/>
    <cellStyle name="Título 8" xfId="216"/>
    <cellStyle name="Total" xfId="217" builtinId="25" customBuiltin="1"/>
    <cellStyle name="Total 2" xfId="218"/>
    <cellStyle name="Total 3" xfId="219"/>
    <cellStyle name="Vírgula" xfId="220" builtinId="3"/>
    <cellStyle name="Vírgula 2" xfId="221"/>
    <cellStyle name="Vírgula 2 2" xfId="222"/>
    <cellStyle name="Vírgula 2 2 2" xfId="223"/>
    <cellStyle name="Vírgula 2 3" xfId="224"/>
    <cellStyle name="Vírgula 2 4" xfId="225"/>
    <cellStyle name="Vírgula 2 4 2" xfId="226"/>
    <cellStyle name="Vírgula 2 4 2 2" xfId="227"/>
    <cellStyle name="Vírgula 2 4 3" xfId="228"/>
    <cellStyle name="Vírgula 2 5" xfId="229"/>
    <cellStyle name="Vírgula 2 5 2" xfId="230"/>
    <cellStyle name="Vírgula 2 5 2 2" xfId="231"/>
    <cellStyle name="Vírgula 2 5 3" xfId="232"/>
    <cellStyle name="Vírgula 2 5 3 2" xfId="233"/>
    <cellStyle name="Vírgula 2 5 4" xfId="234"/>
    <cellStyle name="Vírgula 3" xfId="235"/>
    <cellStyle name="Vírgula 3 2" xfId="236"/>
    <cellStyle name="Vírgula 3 2 2" xfId="237"/>
    <cellStyle name="Vírgula 3 2 2 2" xfId="238"/>
    <cellStyle name="Vírgula 3 2 2 2 2" xfId="239"/>
    <cellStyle name="Vírgula 3 2 2 2 2 2" xfId="240"/>
    <cellStyle name="Vírgula 3 2 2 2 3" xfId="241"/>
    <cellStyle name="Vírgula 3 2 2 3" xfId="242"/>
    <cellStyle name="Vírgula 3 2 2 3 2" xfId="243"/>
    <cellStyle name="Vírgula 3 2 2 4" xfId="244"/>
    <cellStyle name="Vírgula 3 2 3" xfId="245"/>
    <cellStyle name="Vírgula 3 2 3 2" xfId="246"/>
    <cellStyle name="Vírgula 3 2 4" xfId="247"/>
    <cellStyle name="Vírgula 3 2 4 2" xfId="248"/>
    <cellStyle name="Vírgula 3 2 4 2 2" xfId="249"/>
    <cellStyle name="Vírgula 3 2 4 3" xfId="250"/>
    <cellStyle name="Vírgula 3 2 5" xfId="251"/>
    <cellStyle name="Vírgula 3 3" xfId="252"/>
    <cellStyle name="Vírgula 4" xfId="253"/>
    <cellStyle name="Vírgula 4 2" xfId="254"/>
    <cellStyle name="Vírgula 4 2 2" xfId="255"/>
    <cellStyle name="Vírgula 4 3" xfId="256"/>
    <cellStyle name="Vírgula 5" xfId="257"/>
    <cellStyle name="Vírgula 5 2" xfId="258"/>
    <cellStyle name="Vírgula 6" xfId="259"/>
    <cellStyle name="Vírgula 6 2" xfId="260"/>
    <cellStyle name="Vírgula 6 2 2" xfId="261"/>
    <cellStyle name="Vírgula 6 2 2 2" xfId="262"/>
    <cellStyle name="Vírgula 6 2 3" xfId="263"/>
    <cellStyle name="Vírgula 6 3" xfId="264"/>
    <cellStyle name="Vírgula 6 3 2" xfId="265"/>
    <cellStyle name="Vírgula 6 4" xfId="266"/>
    <cellStyle name="Vírgula 7" xfId="267"/>
    <cellStyle name="Vírgula 7 2" xfId="268"/>
    <cellStyle name="Vírgula 7 2 2" xfId="269"/>
    <cellStyle name="Vírgula 7 3" xfId="270"/>
    <cellStyle name="Vírgula 7 3 2" xfId="271"/>
    <cellStyle name="Vírgula 7 4" xfId="272"/>
    <cellStyle name="Vírgula 8" xfId="273"/>
  </cellStyles>
  <dxfs count="29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HISTOGRAMA DA DISPONIBILIZAÇÃO DE RECURSOS</a:t>
            </a:r>
          </a:p>
        </c:rich>
      </c:tx>
      <c:layout>
        <c:manualLayout>
          <c:xMode val="edge"/>
          <c:yMode val="edge"/>
          <c:x val="0.36875012574647681"/>
          <c:y val="3.0303097358731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878110736753853E-3"/>
          <c:y val="0.10644935117376061"/>
          <c:w val="0.98743748807322806"/>
          <c:h val="0.711734180080636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CRONOGRAMA!$T$11:$T$13</c:f>
              <c:numCache>
                <c:formatCode>General</c:formatCode>
                <c:ptCount val="3"/>
                <c:pt idx="0">
                  <c:v>30</c:v>
                </c:pt>
                <c:pt idx="1">
                  <c:v>60</c:v>
                </c:pt>
                <c:pt idx="2">
                  <c:v>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566-436F-8A2C-0A5181BF25C9}"/>
            </c:ext>
          </c:extLst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#,##0.00" sourceLinked="0"/>
            <c:spPr>
              <a:noFill/>
              <a:ln w="12700">
                <a:solidFill>
                  <a:srgbClr val="C0C0C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CRONOGRAMA!$U$11:$U$13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566-436F-8A2C-0A5181BF2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gradFill rotWithShape="0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ln w="3175">
                <a:solidFill>
                  <a:srgbClr val="C0C0C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46083856"/>
        <c:axId val="1"/>
      </c:lineChart>
      <c:catAx>
        <c:axId val="54608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At val="0"/>
        <c:auto val="0"/>
        <c:lblAlgn val="ctr"/>
        <c:lblOffset val="100"/>
        <c:noMultiLvlLbl val="0"/>
      </c:catAx>
      <c:valAx>
        <c:axId val="1"/>
        <c:scaling>
          <c:orientation val="minMax"/>
          <c:max val="20000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46083856"/>
        <c:crosses val="autoZero"/>
        <c:crossBetween val="between"/>
        <c:majorUnit val="100000"/>
        <c:minorUnit val="20000"/>
      </c:valAx>
      <c:spPr>
        <a:solidFill>
          <a:srgbClr val="FFFFFF"/>
        </a:solidFill>
        <a:ln w="25400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PERCENTUAIS DOS SERVIÇOS</a:t>
            </a:r>
          </a:p>
        </c:rich>
      </c:tx>
      <c:layout>
        <c:manualLayout>
          <c:xMode val="edge"/>
          <c:yMode val="edge"/>
          <c:x val="0.42297190520410349"/>
          <c:y val="2.75974431767457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8098945522623E-3"/>
          <c:y val="0.13452617400303424"/>
          <c:w val="0.9836528623848142"/>
          <c:h val="0.756912328426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8100">
              <a:solidFill>
                <a:srgbClr val="000000"/>
              </a:solidFill>
              <a:prstDash val="lgDash"/>
            </a:ln>
          </c:spPr>
          <c:invertIfNegative val="0"/>
          <c:dLbls>
            <c:spPr>
              <a:gradFill rotWithShape="0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/>
              </a:gradFill>
              <a:ln w="25400">
                <a:solidFill>
                  <a:srgbClr val="99CC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CRONOGRAMA!$B$11:$B$26</c:f>
              <c:strCache>
                <c:ptCount val="16"/>
                <c:pt idx="0">
                  <c:v>MOBILIZAÇÃO</c:v>
                </c:pt>
                <c:pt idx="1">
                  <c:v>DEMOLIÇÕES E RETIRADAS</c:v>
                </c:pt>
                <c:pt idx="2">
                  <c:v>ALVENARIAS E DIVISÓRIAS</c:v>
                </c:pt>
                <c:pt idx="3">
                  <c:v>PAVIMENTAÇÃO</c:v>
                </c:pt>
                <c:pt idx="4">
                  <c:v>REVESTIMENTOS</c:v>
                </c:pt>
                <c:pt idx="5">
                  <c:v>FORRO</c:v>
                </c:pt>
                <c:pt idx="6">
                  <c:v>PINTURA INTERNA</c:v>
                </c:pt>
                <c:pt idx="7">
                  <c:v>ESQUADRIAS</c:v>
                </c:pt>
                <c:pt idx="8">
                  <c:v>LOUÇAS E METAIS</c:v>
                </c:pt>
                <c:pt idx="9">
                  <c:v>INSTALAÇÕES HIDROSSANITÁRIAS</c:v>
                </c:pt>
                <c:pt idx="10">
                  <c:v>INSTALAÇÕES ELÉTRICAS</c:v>
                </c:pt>
                <c:pt idx="11">
                  <c:v>CLIMATIZAÇÃO</c:v>
                </c:pt>
                <c:pt idx="12">
                  <c:v>COBERTURA</c:v>
                </c:pt>
                <c:pt idx="13">
                  <c:v>CABEAMENTO ESTRUTURADO</c:v>
                </c:pt>
                <c:pt idx="14">
                  <c:v>SERVIÇOS COMPLEMENTARES</c:v>
                </c:pt>
                <c:pt idx="15">
                  <c:v>SERVIÇOS FINAIS E DESMOBILIZAÇÃO</c:v>
                </c:pt>
              </c:strCache>
            </c:strRef>
          </c:cat>
          <c:val>
            <c:numRef>
              <c:f>CRONOGRAMA!$D$11:$D$26</c:f>
              <c:numCache>
                <c:formatCode>0.00%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A-4754-8F6D-E4C442AE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412588224"/>
        <c:axId val="1"/>
      </c:barChart>
      <c:catAx>
        <c:axId val="41258822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crossAx val="412588224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CURVA S
</a:t>
            </a:r>
          </a:p>
        </c:rich>
      </c:tx>
      <c:layout>
        <c:manualLayout>
          <c:xMode val="edge"/>
          <c:yMode val="edge"/>
          <c:x val="0.42297186795312558"/>
          <c:y val="2.7597491736127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8098945522623E-3"/>
          <c:y val="0.13452617400303424"/>
          <c:w val="0.9836528623848142"/>
          <c:h val="0.75691232842671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dLbls>
            <c:spPr>
              <a:gradFill rotWithShape="0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/>
              </a:gradFill>
              <a:ln w="25400">
                <a:solidFill>
                  <a:srgbClr val="99CC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CRONOGRAMA!$V$11:$V$13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6D-4E30-A1E9-32DC6BC44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345104"/>
        <c:axId val="1"/>
      </c:lineChart>
      <c:catAx>
        <c:axId val="54334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1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crossAx val="543345104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466725</xdr:colOff>
          <xdr:row>7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438721" name="Object 1" hidden="1">
              <a:extLst>
                <a:ext uri="{63B3BB69-23CF-44E3-9099-C40C66FF867C}">
                  <a14:compatExt spid="_x0000_s143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190500</xdr:rowOff>
    </xdr:from>
    <xdr:to>
      <xdr:col>7</xdr:col>
      <xdr:colOff>590550</xdr:colOff>
      <xdr:row>5</xdr:row>
      <xdr:rowOff>161925</xdr:rowOff>
    </xdr:to>
    <xdr:pic>
      <xdr:nvPicPr>
        <xdr:cNvPr id="10329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90500"/>
          <a:ext cx="676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28575</xdr:rowOff>
    </xdr:from>
    <xdr:to>
      <xdr:col>12</xdr:col>
      <xdr:colOff>0</xdr:colOff>
      <xdr:row>59</xdr:row>
      <xdr:rowOff>133350</xdr:rowOff>
    </xdr:to>
    <xdr:graphicFrame macro="">
      <xdr:nvGraphicFramePr>
        <xdr:cNvPr id="156025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73</xdr:row>
      <xdr:rowOff>38100</xdr:rowOff>
    </xdr:from>
    <xdr:to>
      <xdr:col>11</xdr:col>
      <xdr:colOff>1171575</xdr:colOff>
      <xdr:row>105</xdr:row>
      <xdr:rowOff>152400</xdr:rowOff>
    </xdr:to>
    <xdr:graphicFrame macro="">
      <xdr:nvGraphicFramePr>
        <xdr:cNvPr id="1560251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118</xdr:row>
      <xdr:rowOff>133350</xdr:rowOff>
    </xdr:from>
    <xdr:to>
      <xdr:col>11</xdr:col>
      <xdr:colOff>990600</xdr:colOff>
      <xdr:row>145</xdr:row>
      <xdr:rowOff>57150</xdr:rowOff>
    </xdr:to>
    <xdr:graphicFrame macro="">
      <xdr:nvGraphicFramePr>
        <xdr:cNvPr id="1560251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4\c\Projetos\5201%20-%20Big%20Aurea%20-%20Esgotamento%20Sanit&#225;rio%20(FUNASA%20S.F)\08%20-%20Mem%20Calc,%20Or&#231;amento%20e%20Cronograma%20(BAS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uba\apaf$\Documents%20and%20Settings\Administrador\Desktop\ORCAMENTOS\COTA&#199;AO%20SON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ANILHA%20PADRAO%20PARA%20TO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uba\apaf$\In&#225;cio11.07\ARQUITETURA\Documents%20and%20Settings\Administrador\Desktop\ORCAMENTOS\COTA&#199;AO%20SON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g Aurea"/>
      <sheetName val="CRONOGRAMA"/>
      <sheetName val="COMPOSIÇÕES"/>
      <sheetName val="RELAÇÃO - COMPOSIÇÕES E INSUMOS"/>
      <sheetName val="mc Big Aurea"/>
    </sheetNames>
    <sheetDataSet>
      <sheetData sheetId="0"/>
      <sheetData sheetId="1"/>
      <sheetData sheetId="2"/>
      <sheetData sheetId="3" refreshError="1">
        <row r="7">
          <cell r="A7">
            <v>40</v>
          </cell>
          <cell r="B7" t="str">
            <v>MONTAGEM DE ESCADA DE TUBO GALV. E BARRA CHATA COM FIXAÇÃO</v>
          </cell>
          <cell r="C7" t="str">
            <v>H</v>
          </cell>
          <cell r="D7" t="e">
            <v>#REF!</v>
          </cell>
        </row>
        <row r="8">
          <cell r="A8">
            <v>400</v>
          </cell>
          <cell r="B8" t="str">
            <v>DEMOLIÇÃO E RECOMPOSIÇÃO DE MEIO FIO ECONÔMICO</v>
          </cell>
          <cell r="C8" t="str">
            <v>M</v>
          </cell>
          <cell r="D8">
            <v>3.51</v>
          </cell>
        </row>
        <row r="9">
          <cell r="A9">
            <v>405</v>
          </cell>
          <cell r="B9" t="str">
            <v>DEMOLIÇÃO E RECOMPOSIÇÃO DE PAVIMENTO EM PARALELO</v>
          </cell>
          <cell r="C9" t="str">
            <v>M²</v>
          </cell>
          <cell r="D9">
            <v>7.41</v>
          </cell>
        </row>
        <row r="10">
          <cell r="A10">
            <v>410</v>
          </cell>
          <cell r="B10" t="str">
            <v>DEMOLIÇÃO E RECOMPOSIÇÃO DE PASSEIO EM CONCRETO EESP=5CM</v>
          </cell>
          <cell r="C10" t="str">
            <v>M²</v>
          </cell>
          <cell r="D10">
            <v>16.32</v>
          </cell>
        </row>
        <row r="11">
          <cell r="A11">
            <v>411</v>
          </cell>
          <cell r="B11" t="str">
            <v>RETIRADA DE PAVIMENTAÇÃO ASFALTICA</v>
          </cell>
          <cell r="C11" t="str">
            <v>M²</v>
          </cell>
          <cell r="D11">
            <v>4.05</v>
          </cell>
        </row>
        <row r="12">
          <cell r="A12">
            <v>412</v>
          </cell>
          <cell r="B12" t="str">
            <v>RECOMPISIÇÃO  DE CAPA EM CONCRETO ASFALTICO E = 0,05 M</v>
          </cell>
          <cell r="C12" t="str">
            <v>M³</v>
          </cell>
          <cell r="D12">
            <v>352.94117647058823</v>
          </cell>
        </row>
        <row r="13">
          <cell r="A13">
            <v>500</v>
          </cell>
          <cell r="B13" t="str">
            <v>ARGAMASSA CIM/AREIA TRAÇO 1:3</v>
          </cell>
          <cell r="C13" t="str">
            <v>M³</v>
          </cell>
          <cell r="D13">
            <v>191.08</v>
          </cell>
        </row>
        <row r="14">
          <cell r="A14">
            <v>600</v>
          </cell>
          <cell r="B14" t="str">
            <v>MOBILIZAÇÃO E DESMOBILIZAÇÃO DE EQUIPAMENTOS</v>
          </cell>
          <cell r="C14" t="str">
            <v>UND</v>
          </cell>
          <cell r="D14">
            <v>1500</v>
          </cell>
        </row>
        <row r="15">
          <cell r="A15">
            <v>20006</v>
          </cell>
          <cell r="B15" t="str">
            <v>REATERRO APILOADO DE VALA</v>
          </cell>
          <cell r="C15" t="str">
            <v>M³</v>
          </cell>
          <cell r="D15">
            <v>5</v>
          </cell>
        </row>
        <row r="16">
          <cell r="A16">
            <v>100004</v>
          </cell>
          <cell r="B16" t="str">
            <v>GABARITO</v>
          </cell>
          <cell r="C16" t="str">
            <v>M</v>
          </cell>
          <cell r="D16">
            <v>5.13</v>
          </cell>
        </row>
        <row r="17">
          <cell r="A17">
            <v>100005</v>
          </cell>
          <cell r="B17" t="str">
            <v>BARRACÃO E DEPÓSITO PROVISÓRIO</v>
          </cell>
          <cell r="C17" t="str">
            <v>M²</v>
          </cell>
          <cell r="D17">
            <v>77.92</v>
          </cell>
        </row>
        <row r="18">
          <cell r="A18">
            <v>100006</v>
          </cell>
          <cell r="B18" t="str">
            <v>INSTALAÇÃO ELÉTRICA - BARRACÃO</v>
          </cell>
          <cell r="C18" t="str">
            <v>M²</v>
          </cell>
          <cell r="D18">
            <v>8.264705882352942</v>
          </cell>
        </row>
        <row r="19">
          <cell r="A19">
            <v>100007</v>
          </cell>
          <cell r="B19" t="str">
            <v>INSTALAÇÃO HIDRÁULICA - BARRACÃO</v>
          </cell>
          <cell r="C19" t="str">
            <v>UND</v>
          </cell>
          <cell r="D19">
            <v>283.16470588235296</v>
          </cell>
        </row>
        <row r="20">
          <cell r="A20">
            <v>100008</v>
          </cell>
          <cell r="B20" t="str">
            <v>QUADRO COMANDO P/ BOMBA (POÇO TUBULAR)</v>
          </cell>
          <cell r="C20" t="str">
            <v>UND</v>
          </cell>
          <cell r="D20">
            <v>20.05</v>
          </cell>
        </row>
        <row r="21">
          <cell r="A21">
            <v>100010</v>
          </cell>
          <cell r="B21" t="str">
            <v>CERCA DE ARAME FARPADO 14 FIOS E ESTACA DE CONCRETO</v>
          </cell>
          <cell r="C21" t="str">
            <v>M</v>
          </cell>
          <cell r="D21">
            <v>14.211764705882354</v>
          </cell>
        </row>
        <row r="22">
          <cell r="A22">
            <v>100013</v>
          </cell>
          <cell r="B22" t="str">
            <v>LIMPEZA MANUAL DO TERRENO (ROÇAGEM, CAPINA E QUEIMADA DE MATERIAIS)</v>
          </cell>
          <cell r="C22" t="str">
            <v>M²</v>
          </cell>
          <cell r="D22">
            <v>0.67</v>
          </cell>
        </row>
        <row r="23">
          <cell r="A23">
            <v>100021</v>
          </cell>
          <cell r="B23" t="str">
            <v>PLANTIO DE GRAMA EM PLACAS</v>
          </cell>
          <cell r="C23" t="str">
            <v>M²</v>
          </cell>
          <cell r="D23" t="e">
            <v>#REF!</v>
          </cell>
        </row>
        <row r="24">
          <cell r="A24">
            <v>100040</v>
          </cell>
          <cell r="B24" t="str">
            <v>LOCAÇÃO DA REDE</v>
          </cell>
          <cell r="C24" t="str">
            <v>M</v>
          </cell>
          <cell r="D24">
            <v>0.14000000000000001</v>
          </cell>
        </row>
        <row r="25">
          <cell r="A25">
            <v>100050</v>
          </cell>
          <cell r="B25" t="str">
            <v>LOCAÇÃO E GABARITO</v>
          </cell>
          <cell r="C25" t="str">
            <v>M²</v>
          </cell>
          <cell r="D25">
            <v>2.42</v>
          </cell>
        </row>
        <row r="26">
          <cell r="A26">
            <v>110001</v>
          </cell>
          <cell r="B26" t="str">
            <v>CONCRETO DESEMPOLADO</v>
          </cell>
          <cell r="C26" t="str">
            <v>M²</v>
          </cell>
          <cell r="D26">
            <v>10.47</v>
          </cell>
        </row>
        <row r="27">
          <cell r="A27">
            <v>110003</v>
          </cell>
          <cell r="B27" t="str">
            <v>CIMENTADO LISO</v>
          </cell>
          <cell r="C27" t="str">
            <v>M²</v>
          </cell>
          <cell r="D27" t="e">
            <v>#REF!</v>
          </cell>
        </row>
        <row r="28">
          <cell r="A28">
            <v>110020</v>
          </cell>
          <cell r="B28" t="str">
            <v>ESTRADO DE MADEIRA</v>
          </cell>
          <cell r="C28" t="str">
            <v>M²</v>
          </cell>
          <cell r="D28" t="e">
            <v>#REF!</v>
          </cell>
        </row>
        <row r="29">
          <cell r="A29">
            <v>110035</v>
          </cell>
          <cell r="B29" t="str">
            <v>PLACA DE OBRA</v>
          </cell>
          <cell r="C29" t="str">
            <v>M²</v>
          </cell>
          <cell r="D29">
            <v>45.3</v>
          </cell>
        </row>
        <row r="30">
          <cell r="A30">
            <v>110124</v>
          </cell>
          <cell r="B30" t="str">
            <v>LASTRO DE AREIA</v>
          </cell>
          <cell r="C30" t="str">
            <v>M³</v>
          </cell>
          <cell r="D30">
            <v>17.95</v>
          </cell>
        </row>
        <row r="31">
          <cell r="A31">
            <v>110125</v>
          </cell>
          <cell r="B31" t="str">
            <v>PASSADIÇO EM MADEIRA DE LEI PARA PEDESTRE</v>
          </cell>
          <cell r="C31" t="str">
            <v>M²</v>
          </cell>
          <cell r="D31">
            <v>21.98</v>
          </cell>
        </row>
        <row r="32">
          <cell r="A32">
            <v>110154</v>
          </cell>
          <cell r="B32" t="str">
            <v>PASSEIO EM CONCRETO INCL. PREPARO DA CAIXA</v>
          </cell>
          <cell r="C32" t="str">
            <v>M²</v>
          </cell>
          <cell r="D32">
            <v>15.35</v>
          </cell>
        </row>
        <row r="33">
          <cell r="A33">
            <v>120001</v>
          </cell>
          <cell r="B33" t="str">
            <v>PINTURA PVA LATEX SEM MASSA 2 DEMÃOS</v>
          </cell>
          <cell r="C33" t="str">
            <v>M²</v>
          </cell>
          <cell r="D33" t="e">
            <v>#REF!</v>
          </cell>
        </row>
        <row r="34">
          <cell r="A34">
            <v>120027</v>
          </cell>
          <cell r="B34" t="str">
            <v>PINTURA ACRÍLICA SEM MASSA 2 DEMÃOS</v>
          </cell>
          <cell r="C34" t="str">
            <v>M²</v>
          </cell>
          <cell r="D34" t="e">
            <v>#REF!</v>
          </cell>
        </row>
        <row r="35">
          <cell r="A35">
            <v>120029</v>
          </cell>
          <cell r="B35" t="str">
            <v>PINTURA ESMALTE SOBRE MADEIRA</v>
          </cell>
          <cell r="C35" t="str">
            <v>M²</v>
          </cell>
          <cell r="D35" t="e">
            <v>#REF!</v>
          </cell>
        </row>
        <row r="36">
          <cell r="A36">
            <v>120030</v>
          </cell>
          <cell r="B36" t="str">
            <v>PINTURA ESMALTE SOBRE FERRO</v>
          </cell>
          <cell r="C36" t="str">
            <v>M²</v>
          </cell>
          <cell r="D36">
            <v>6.43</v>
          </cell>
        </row>
        <row r="37">
          <cell r="A37">
            <v>200000</v>
          </cell>
          <cell r="B37" t="str">
            <v>ESCAVAÇÃO MANUAL DE VALA  EM ROCHA ( 4º CAT.), INCLUINDO  REGULARIZAÇÃO DE VALA</v>
          </cell>
          <cell r="C37" t="str">
            <v>M³</v>
          </cell>
          <cell r="D37" t="e">
            <v>#REF!</v>
          </cell>
        </row>
        <row r="38">
          <cell r="A38">
            <v>200001</v>
          </cell>
          <cell r="B38" t="str">
            <v>ESCAVAÇÃO MANUAL DE VALA  EM  LODO, INCLUINDO  REGULARIZAÇÃO DE VALA</v>
          </cell>
          <cell r="C38" t="str">
            <v>M³</v>
          </cell>
          <cell r="D38">
            <v>10.26</v>
          </cell>
        </row>
        <row r="39">
          <cell r="A39">
            <v>200002</v>
          </cell>
          <cell r="B39" t="str">
            <v>ESCAVAÇÃO MANUAL SOLO 1ª CATEGORIA H ATÉ 1,50M</v>
          </cell>
          <cell r="C39" t="str">
            <v>M³</v>
          </cell>
          <cell r="D39">
            <v>7.7</v>
          </cell>
        </row>
        <row r="40">
          <cell r="A40">
            <v>200003</v>
          </cell>
          <cell r="B40" t="str">
            <v>ESCAVAÇÃO MECANIZADA EM SOLO DE UALQUER NATUREZA, EXCETO ROCHA, INCLUINDO REGULARIZAÇÃO</v>
          </cell>
          <cell r="C40" t="str">
            <v>M³</v>
          </cell>
          <cell r="D40">
            <v>1.83</v>
          </cell>
        </row>
        <row r="41">
          <cell r="A41">
            <v>200004</v>
          </cell>
          <cell r="B41" t="str">
            <v>CIMBRAMENTO DE MADEIRA</v>
          </cell>
          <cell r="C41" t="str">
            <v>M³</v>
          </cell>
          <cell r="D41">
            <v>6.45</v>
          </cell>
        </row>
        <row r="42">
          <cell r="A42">
            <v>200006</v>
          </cell>
          <cell r="B42" t="str">
            <v>REATERRO APILOADO DE VALA</v>
          </cell>
          <cell r="C42" t="str">
            <v>M³</v>
          </cell>
          <cell r="D42">
            <v>5</v>
          </cell>
        </row>
        <row r="43">
          <cell r="A43">
            <v>200009</v>
          </cell>
          <cell r="B43" t="str">
            <v>APILOAMENTO DE FUNDO DE VALAS</v>
          </cell>
          <cell r="C43" t="str">
            <v>M²</v>
          </cell>
          <cell r="D43">
            <v>0.47</v>
          </cell>
        </row>
        <row r="44">
          <cell r="A44">
            <v>200010</v>
          </cell>
          <cell r="B44" t="str">
            <v>BOTA-FORA DMT=2KM</v>
          </cell>
          <cell r="C44" t="str">
            <v>M³</v>
          </cell>
          <cell r="D44">
            <v>2.4500000000000002</v>
          </cell>
        </row>
        <row r="45">
          <cell r="A45">
            <v>200012</v>
          </cell>
          <cell r="B45" t="str">
            <v>CARGA MANUAL DE SOLO 1ª CATEGORIA</v>
          </cell>
          <cell r="C45" t="str">
            <v>M³</v>
          </cell>
          <cell r="D45">
            <v>1.35</v>
          </cell>
        </row>
        <row r="46">
          <cell r="A46">
            <v>300001</v>
          </cell>
          <cell r="B46" t="str">
            <v>CONCRETO MAGRO</v>
          </cell>
          <cell r="C46" t="str">
            <v>M³</v>
          </cell>
          <cell r="D46">
            <v>102.94</v>
          </cell>
        </row>
        <row r="47">
          <cell r="A47">
            <v>300002</v>
          </cell>
          <cell r="B47" t="str">
            <v>FORMA DE FUNDAÇÃO EM TÁBUA</v>
          </cell>
          <cell r="C47" t="str">
            <v>M²</v>
          </cell>
          <cell r="D47">
            <v>20.53</v>
          </cell>
        </row>
        <row r="48">
          <cell r="A48">
            <v>300004</v>
          </cell>
          <cell r="B48" t="str">
            <v>LASTRO DE CONCRETO MAGRO (5CM)</v>
          </cell>
          <cell r="C48" t="str">
            <v>M³</v>
          </cell>
          <cell r="D48">
            <v>136.9</v>
          </cell>
        </row>
        <row r="49">
          <cell r="A49">
            <v>300005</v>
          </cell>
          <cell r="B49" t="str">
            <v>ALVENARIA DE PEDRA</v>
          </cell>
          <cell r="C49" t="str">
            <v>M³</v>
          </cell>
          <cell r="D49">
            <v>123.02</v>
          </cell>
        </row>
        <row r="50">
          <cell r="A50">
            <v>400001</v>
          </cell>
          <cell r="B50" t="str">
            <v>ARMAÇÃO DE AÇO CA-50</v>
          </cell>
          <cell r="C50" t="str">
            <v>KG</v>
          </cell>
          <cell r="D50">
            <v>1.7352941176470589</v>
          </cell>
        </row>
        <row r="51">
          <cell r="A51">
            <v>400005</v>
          </cell>
          <cell r="B51" t="str">
            <v>FORMA COMPENSADA RESINADA 12MM</v>
          </cell>
          <cell r="C51" t="str">
            <v>M²</v>
          </cell>
          <cell r="D51">
            <v>24.12</v>
          </cell>
        </row>
        <row r="52">
          <cell r="A52">
            <v>400014</v>
          </cell>
          <cell r="B52" t="str">
            <v>CONCRETO FCK 15 MPA</v>
          </cell>
          <cell r="C52" t="str">
            <v>M³</v>
          </cell>
          <cell r="D52">
            <v>153.13999999999999</v>
          </cell>
        </row>
        <row r="53">
          <cell r="A53">
            <v>400015</v>
          </cell>
          <cell r="B53" t="str">
            <v>BLOCO DE ANCORAGEM</v>
          </cell>
          <cell r="C53" t="str">
            <v>M³</v>
          </cell>
          <cell r="D53">
            <v>242.06</v>
          </cell>
        </row>
        <row r="54">
          <cell r="A54">
            <v>400020</v>
          </cell>
          <cell r="B54" t="str">
            <v>PLACA DE CONCRETO PARA PISO</v>
          </cell>
          <cell r="C54" t="str">
            <v>M²</v>
          </cell>
          <cell r="D54" t="e">
            <v>#REF!</v>
          </cell>
        </row>
        <row r="55">
          <cell r="A55">
            <v>400045</v>
          </cell>
          <cell r="B55" t="str">
            <v>CONCRETO ARMADO FCK 15 MPA (FORMA, AÇO E CONCRETO)</v>
          </cell>
          <cell r="C55" t="str">
            <v>M3</v>
          </cell>
          <cell r="D55">
            <v>547.05882352941182</v>
          </cell>
        </row>
        <row r="56">
          <cell r="A56">
            <v>400056</v>
          </cell>
          <cell r="B56" t="str">
            <v>FORMA CURVA EM COMPENSADO RESINADO 12MM</v>
          </cell>
          <cell r="C56" t="str">
            <v>M²</v>
          </cell>
          <cell r="D56">
            <v>28.335294117647059</v>
          </cell>
        </row>
        <row r="57">
          <cell r="A57">
            <v>500003</v>
          </cell>
          <cell r="B57" t="str">
            <v>COMBOGÓ CIMENTO 20X20CM</v>
          </cell>
          <cell r="C57" t="str">
            <v>M²</v>
          </cell>
          <cell r="D57" t="e">
            <v>#REF!</v>
          </cell>
        </row>
        <row r="58">
          <cell r="A58">
            <v>500006</v>
          </cell>
          <cell r="B58" t="str">
            <v>ALVENARIA DE TIJOLO ESP=20CM</v>
          </cell>
          <cell r="C58" t="str">
            <v>M²</v>
          </cell>
          <cell r="D58">
            <v>21.71</v>
          </cell>
        </row>
        <row r="59">
          <cell r="A59">
            <v>500008</v>
          </cell>
          <cell r="B59" t="str">
            <v>ALVENARIA DE BLOCO CERÂMICO 10CM</v>
          </cell>
          <cell r="C59" t="str">
            <v>M²</v>
          </cell>
          <cell r="D59">
            <v>12.47</v>
          </cell>
        </row>
        <row r="60">
          <cell r="A60">
            <v>500114</v>
          </cell>
          <cell r="B60" t="str">
            <v>TUBO DE F°F° JE DN 150 MM</v>
          </cell>
          <cell r="C60" t="str">
            <v>M</v>
          </cell>
          <cell r="D60">
            <v>17.03</v>
          </cell>
        </row>
        <row r="61">
          <cell r="A61">
            <v>500116</v>
          </cell>
          <cell r="B61" t="str">
            <v>TUBO  VINIFORT DN 150  MM</v>
          </cell>
          <cell r="C61" t="str">
            <v>M</v>
          </cell>
          <cell r="D61">
            <v>8.11</v>
          </cell>
        </row>
        <row r="62">
          <cell r="A62">
            <v>500118</v>
          </cell>
          <cell r="B62" t="str">
            <v>LUVA DE CORRER PARA PVC DN 150 MM</v>
          </cell>
          <cell r="C62" t="str">
            <v>UND</v>
          </cell>
          <cell r="D62">
            <v>35.82</v>
          </cell>
        </row>
        <row r="63">
          <cell r="A63">
            <v>500123</v>
          </cell>
          <cell r="B63" t="str">
            <v>CURVA 45º FºFº DN 2B DN 150 MM</v>
          </cell>
          <cell r="C63" t="str">
            <v>UND</v>
          </cell>
          <cell r="D63">
            <v>20.2</v>
          </cell>
        </row>
        <row r="64">
          <cell r="A64">
            <v>500124</v>
          </cell>
          <cell r="B64" t="str">
            <v>TÊ PVC DE FºFº 3B DN 150 MM</v>
          </cell>
          <cell r="C64" t="str">
            <v>UND</v>
          </cell>
          <cell r="D64">
            <v>124.04</v>
          </cell>
        </row>
        <row r="65">
          <cell r="A65">
            <v>600002</v>
          </cell>
          <cell r="B65" t="str">
            <v>MADEIRAMENTO</v>
          </cell>
          <cell r="C65" t="str">
            <v>M³</v>
          </cell>
          <cell r="D65">
            <v>553.32000000000005</v>
          </cell>
        </row>
        <row r="66">
          <cell r="A66">
            <v>600024</v>
          </cell>
          <cell r="B66" t="str">
            <v>COBERTURA TELHA COLONIAL</v>
          </cell>
          <cell r="C66" t="str">
            <v>M²</v>
          </cell>
          <cell r="D66" t="e">
            <v>#REF!</v>
          </cell>
        </row>
        <row r="67">
          <cell r="A67">
            <v>600025</v>
          </cell>
          <cell r="B67" t="str">
            <v>MADEIRAMENTO P/ TELHA COLONIAL</v>
          </cell>
          <cell r="C67" t="str">
            <v>M²</v>
          </cell>
          <cell r="D67" t="e">
            <v>#REF!</v>
          </cell>
        </row>
        <row r="68">
          <cell r="A68">
            <v>600029</v>
          </cell>
          <cell r="B68" t="str">
            <v>LAJE PRE-MOLDADA DE PISO</v>
          </cell>
          <cell r="C68" t="str">
            <v>M²</v>
          </cell>
          <cell r="D68">
            <v>0</v>
          </cell>
        </row>
        <row r="69">
          <cell r="A69">
            <v>800007</v>
          </cell>
          <cell r="B69" t="str">
            <v>PORTA MAD. P/ PINTURA 120X210CM</v>
          </cell>
          <cell r="C69" t="str">
            <v>UND</v>
          </cell>
          <cell r="D69" t="e">
            <v>#REF!</v>
          </cell>
        </row>
        <row r="70">
          <cell r="A70">
            <v>800099</v>
          </cell>
          <cell r="B70" t="str">
            <v>PORTÃO DE FERRO GALVANIZADO 2,5X1,8M INCL. PINTURA</v>
          </cell>
          <cell r="C70" t="str">
            <v>UND</v>
          </cell>
          <cell r="D70" t="e">
            <v>#REF!</v>
          </cell>
        </row>
        <row r="71">
          <cell r="A71">
            <v>900001</v>
          </cell>
          <cell r="B71" t="str">
            <v>CHAPISCO C/ ARGAMASSA 1:3 (CIM./AREIA)</v>
          </cell>
          <cell r="C71" t="str">
            <v>M²</v>
          </cell>
          <cell r="D71">
            <v>2.2200000000000002</v>
          </cell>
        </row>
        <row r="72">
          <cell r="A72">
            <v>900003</v>
          </cell>
          <cell r="B72" t="str">
            <v>MASSA ÚNICA</v>
          </cell>
          <cell r="C72" t="str">
            <v>M²</v>
          </cell>
          <cell r="D72" t="e">
            <v>#REF!</v>
          </cell>
        </row>
        <row r="73">
          <cell r="A73">
            <v>900010</v>
          </cell>
          <cell r="B73" t="str">
            <v>IMPERMEABILIZAÇÃO INTERNA DE RESERVATÓRIO</v>
          </cell>
          <cell r="C73" t="str">
            <v>M²</v>
          </cell>
          <cell r="D73">
            <v>21.2</v>
          </cell>
        </row>
        <row r="74">
          <cell r="A74">
            <v>900011</v>
          </cell>
          <cell r="B74" t="str">
            <v>IMPERMEABILIZAÇÃO INTERNA DO DAFA</v>
          </cell>
          <cell r="C74" t="str">
            <v>M²</v>
          </cell>
          <cell r="D74">
            <v>40.19</v>
          </cell>
        </row>
        <row r="75">
          <cell r="A75">
            <v>900015</v>
          </cell>
          <cell r="B75" t="str">
            <v>IMPERMEABILIZAÇÃO EXTERNA DE RESERVATÓRIO</v>
          </cell>
          <cell r="C75" t="str">
            <v>M²</v>
          </cell>
          <cell r="D75" t="e">
            <v>#REF!</v>
          </cell>
        </row>
        <row r="76">
          <cell r="A76">
            <v>900200</v>
          </cell>
          <cell r="B76" t="str">
            <v>ASSENTAMENTO DE PEÇAS , TUBOS  E CONEXÕES PVC  DN 150MM JE DO DAFA</v>
          </cell>
          <cell r="C76" t="str">
            <v>UND</v>
          </cell>
          <cell r="D76">
            <v>310.48</v>
          </cell>
        </row>
        <row r="77">
          <cell r="A77">
            <v>900210</v>
          </cell>
          <cell r="B77" t="str">
            <v>ASSENTAMENTO DE TUBOS  E CONEXÕES PVC  DN 150MM JE</v>
          </cell>
          <cell r="C77" t="str">
            <v>M</v>
          </cell>
          <cell r="D77">
            <v>0.55000000000000004</v>
          </cell>
        </row>
        <row r="78">
          <cell r="A78">
            <v>900220</v>
          </cell>
          <cell r="B78" t="str">
            <v>ASSENTAMENTO DE TUBOS PVC PBA DN 100MM</v>
          </cell>
          <cell r="C78" t="str">
            <v>M</v>
          </cell>
          <cell r="D78" t="e">
            <v>#REF!</v>
          </cell>
        </row>
        <row r="79">
          <cell r="A79">
            <v>900240</v>
          </cell>
          <cell r="B79" t="str">
            <v>ASSENTAMENTO DE TUBOS E CONEXÕES DE 50 A 75MM</v>
          </cell>
          <cell r="C79" t="str">
            <v>M</v>
          </cell>
          <cell r="D79" t="e">
            <v>#REF!</v>
          </cell>
        </row>
        <row r="80">
          <cell r="A80">
            <v>900500</v>
          </cell>
          <cell r="B80" t="str">
            <v>TUBO DE PVCPBA CL-12 50MM</v>
          </cell>
          <cell r="C80" t="str">
            <v>M</v>
          </cell>
          <cell r="D80" t="e">
            <v>#REF!</v>
          </cell>
        </row>
        <row r="81">
          <cell r="A81">
            <v>900501</v>
          </cell>
          <cell r="B81" t="str">
            <v>TUBO DE AÇO GALVANIZADO DN 50 MM</v>
          </cell>
          <cell r="C81" t="str">
            <v>M</v>
          </cell>
          <cell r="D81" t="e">
            <v>#REF!</v>
          </cell>
        </row>
        <row r="82">
          <cell r="A82">
            <v>900502</v>
          </cell>
          <cell r="B82" t="str">
            <v>TUBO DE PVCPBA CL-12 75MM</v>
          </cell>
          <cell r="C82" t="str">
            <v>M</v>
          </cell>
          <cell r="D82">
            <v>0</v>
          </cell>
        </row>
        <row r="83">
          <cell r="A83">
            <v>900520</v>
          </cell>
          <cell r="B83" t="str">
            <v>CURVA PVCPBA CL 15 45ºX100MM</v>
          </cell>
          <cell r="C83" t="str">
            <v>UND</v>
          </cell>
          <cell r="D83" t="e">
            <v>#REF!</v>
          </cell>
        </row>
        <row r="84">
          <cell r="A84">
            <v>900521</v>
          </cell>
          <cell r="B84" t="str">
            <v>CURVA PVCPBA CL 15 90ºX100MM</v>
          </cell>
          <cell r="C84" t="str">
            <v>UND</v>
          </cell>
          <cell r="D84" t="e">
            <v>#REF!</v>
          </cell>
        </row>
        <row r="85">
          <cell r="A85">
            <v>900522</v>
          </cell>
          <cell r="B85" t="str">
            <v>CURVA PVCPBA CL 15 22º30'X100MM</v>
          </cell>
          <cell r="C85" t="str">
            <v>UND</v>
          </cell>
          <cell r="D85" t="e">
            <v>#REF!</v>
          </cell>
        </row>
        <row r="86">
          <cell r="A86">
            <v>900523</v>
          </cell>
          <cell r="B86" t="str">
            <v>VENTOSA SIMPLES DN 50 MM</v>
          </cell>
          <cell r="C86" t="str">
            <v>UND</v>
          </cell>
          <cell r="D86" t="e">
            <v>#REF!</v>
          </cell>
        </row>
        <row r="87">
          <cell r="A87">
            <v>900524</v>
          </cell>
          <cell r="B87" t="str">
            <v>DISPOSITIVO DE DESCARGA 50 MM</v>
          </cell>
          <cell r="C87" t="str">
            <v>UND</v>
          </cell>
          <cell r="D87" t="e">
            <v>#REF!</v>
          </cell>
        </row>
        <row r="88">
          <cell r="A88">
            <v>900530</v>
          </cell>
          <cell r="B88" t="str">
            <v>CURVA PVCPBA CL-12 45ºX50MM</v>
          </cell>
          <cell r="C88" t="str">
            <v>UND</v>
          </cell>
          <cell r="D88" t="e">
            <v>#REF!</v>
          </cell>
        </row>
        <row r="89">
          <cell r="A89">
            <v>900532</v>
          </cell>
          <cell r="B89" t="str">
            <v>CURVA PVCPBA CL-12 90ºX50MM</v>
          </cell>
          <cell r="C89" t="str">
            <v>UND</v>
          </cell>
          <cell r="D89" t="e">
            <v>#REF!</v>
          </cell>
        </row>
        <row r="90">
          <cell r="A90">
            <v>900535</v>
          </cell>
          <cell r="B90" t="str">
            <v>TE PVCPBA CL-12 75X75MM</v>
          </cell>
          <cell r="C90" t="str">
            <v>UND</v>
          </cell>
          <cell r="D90" t="e">
            <v>#REF!</v>
          </cell>
        </row>
        <row r="91">
          <cell r="A91">
            <v>900538</v>
          </cell>
          <cell r="B91" t="str">
            <v>TE RED PVCPBA CL-12 75X50MM</v>
          </cell>
          <cell r="C91" t="str">
            <v>UND</v>
          </cell>
          <cell r="D91" t="e">
            <v>#REF!</v>
          </cell>
        </row>
        <row r="92">
          <cell r="A92">
            <v>900540</v>
          </cell>
          <cell r="B92" t="str">
            <v>REDUÇÃO PVCPBA CL-12 75X50MM</v>
          </cell>
          <cell r="C92" t="str">
            <v>UND</v>
          </cell>
          <cell r="D92" t="e">
            <v>#REF!</v>
          </cell>
        </row>
        <row r="93">
          <cell r="A93">
            <v>900550</v>
          </cell>
          <cell r="B93" t="str">
            <v>CAP PVCPBA 50MM</v>
          </cell>
          <cell r="C93" t="str">
            <v>UND</v>
          </cell>
          <cell r="D93" t="e">
            <v>#REF!</v>
          </cell>
        </row>
        <row r="94">
          <cell r="A94">
            <v>900700</v>
          </cell>
          <cell r="B94" t="str">
            <v>INSTALAÇÃO DE BOMBA SUBMERSÍVEL, TUBOS E CONEXÕES</v>
          </cell>
          <cell r="C94" t="str">
            <v>CJ</v>
          </cell>
          <cell r="D94">
            <v>118.58</v>
          </cell>
        </row>
        <row r="95">
          <cell r="A95">
            <v>900701</v>
          </cell>
          <cell r="B95" t="str">
            <v>INSTALAÇÃO DE BOMBA SUBMERSÍVEL P/ POÇO PROFUNDO H =80M</v>
          </cell>
          <cell r="C95" t="str">
            <v>CJ</v>
          </cell>
          <cell r="D95">
            <v>0</v>
          </cell>
        </row>
        <row r="96">
          <cell r="A96">
            <v>900705</v>
          </cell>
          <cell r="B96" t="str">
            <v>MONTAGEM DE TUBOS E CONEXÕES</v>
          </cell>
          <cell r="C96" t="str">
            <v>CJ</v>
          </cell>
          <cell r="D96">
            <v>21.14</v>
          </cell>
        </row>
        <row r="97">
          <cell r="A97">
            <v>900707</v>
          </cell>
          <cell r="B97" t="str">
            <v>MONTAGEM DE TUBOS E CONEXÕES (RESERVAT./ CHAFARIZ)</v>
          </cell>
          <cell r="C97" t="str">
            <v>CJ</v>
          </cell>
          <cell r="D97">
            <v>0</v>
          </cell>
        </row>
        <row r="98">
          <cell r="A98">
            <v>900710</v>
          </cell>
          <cell r="B98" t="str">
            <v>RESERVATÓRIO EM FIBRA CAP. 10.000L</v>
          </cell>
          <cell r="C98" t="str">
            <v>UND</v>
          </cell>
          <cell r="D98">
            <v>1450</v>
          </cell>
        </row>
        <row r="99">
          <cell r="A99">
            <v>900715</v>
          </cell>
          <cell r="B99" t="str">
            <v>CADASTRO DA REDE</v>
          </cell>
          <cell r="C99" t="str">
            <v>M</v>
          </cell>
          <cell r="D99">
            <v>0.85</v>
          </cell>
        </row>
        <row r="100">
          <cell r="A100">
            <v>900750</v>
          </cell>
          <cell r="B100" t="str">
            <v>MONTAGEM E INSTALAÇÃO DE REDE ELÉTRICA (AT/BT)</v>
          </cell>
          <cell r="C100" t="str">
            <v>M</v>
          </cell>
          <cell r="D100" t="e">
            <v>#REF!</v>
          </cell>
        </row>
        <row r="101">
          <cell r="A101">
            <v>900800</v>
          </cell>
          <cell r="B101" t="str">
            <v>CAIXA TIJOLO MACIÇO 40X40X80CM</v>
          </cell>
          <cell r="C101" t="str">
            <v>UND</v>
          </cell>
          <cell r="D101" t="e">
            <v>#REF!</v>
          </cell>
        </row>
        <row r="102">
          <cell r="A102">
            <v>900900</v>
          </cell>
          <cell r="B102" t="str">
            <v xml:space="preserve">INSTALAÇÃO ELÉTRICA </v>
          </cell>
          <cell r="C102" t="str">
            <v>UND</v>
          </cell>
          <cell r="D102" t="e">
            <v>#REF!</v>
          </cell>
        </row>
        <row r="103">
          <cell r="A103">
            <v>900905</v>
          </cell>
          <cell r="B103" t="str">
            <v>INSTALAÇÃO HIDRÁULICA</v>
          </cell>
          <cell r="C103" t="str">
            <v>UND</v>
          </cell>
          <cell r="D103" t="e">
            <v>#REF!</v>
          </cell>
        </row>
        <row r="104">
          <cell r="A104">
            <v>900910</v>
          </cell>
          <cell r="B104" t="str">
            <v>INSTALAÇÃO MECÂNICA</v>
          </cell>
          <cell r="C104" t="str">
            <v>UND</v>
          </cell>
          <cell r="D104">
            <v>1079.48</v>
          </cell>
        </row>
        <row r="105">
          <cell r="A105">
            <v>900911</v>
          </cell>
          <cell r="B105" t="str">
            <v>LIGAÇÃO DOMICILIAR DE ESGOTO</v>
          </cell>
          <cell r="C105" t="str">
            <v>UND</v>
          </cell>
          <cell r="D105">
            <v>80.405000000000001</v>
          </cell>
        </row>
        <row r="106">
          <cell r="A106">
            <v>900912</v>
          </cell>
          <cell r="B106" t="str">
            <v>LIGAÇÃO INTRADOMICLIAR EM PVC, INCL. DEMOLIÇÃO DE PISO , ESCAVAÇÃO, ASSENT. DA TUBULAÇÃO E RECOMPOSIÇÃO DO PISO</v>
          </cell>
          <cell r="C106" t="str">
            <v>M</v>
          </cell>
          <cell r="D106">
            <v>23.14</v>
          </cell>
        </row>
        <row r="107">
          <cell r="A107">
            <v>900913</v>
          </cell>
          <cell r="B107" t="str">
            <v>EXECUÇÃO DE BOCA DE BUEIRO</v>
          </cell>
          <cell r="C107" t="str">
            <v>UND</v>
          </cell>
        </row>
        <row r="108">
          <cell r="A108">
            <v>900915</v>
          </cell>
          <cell r="B108" t="str">
            <v>LIGAÇÃO DOMICILIAR DE ÁGUA - PADRÃO EMBASA</v>
          </cell>
          <cell r="C108" t="str">
            <v>UND</v>
          </cell>
          <cell r="D108" t="e">
            <v>#REF!</v>
          </cell>
        </row>
        <row r="109">
          <cell r="A109">
            <v>900916</v>
          </cell>
          <cell r="B109" t="str">
            <v>HIDRÔMETRO DE 1/2" X 3M³/H</v>
          </cell>
          <cell r="C109" t="str">
            <v>UND</v>
          </cell>
          <cell r="D109">
            <v>0</v>
          </cell>
        </row>
        <row r="110">
          <cell r="A110">
            <v>900920</v>
          </cell>
          <cell r="B110" t="str">
            <v>POÇO DE VISITA EM ANEL DE CONCRETO PREMOLDADO D = 0,60 M PROND. ATÉ 1,20 M COMTAMPÃO F°F° TD-600</v>
          </cell>
          <cell r="C110" t="str">
            <v>UND</v>
          </cell>
          <cell r="D110">
            <v>223.52941176470588</v>
          </cell>
        </row>
        <row r="111">
          <cell r="A111">
            <v>900930</v>
          </cell>
          <cell r="B111" t="str">
            <v>ASSENTAMENTO DE TUBOS , PEÇAS E CONEXÕES DO BARRILETE</v>
          </cell>
          <cell r="C111" t="str">
            <v>H</v>
          </cell>
          <cell r="D111" t="e">
            <v>#REF!</v>
          </cell>
        </row>
        <row r="112">
          <cell r="A112">
            <v>900940</v>
          </cell>
          <cell r="B112" t="str">
            <v>ESCORAMENTO COM ESTACA PRANCHA METÁLICA , PROFUNDIDADE ACIMA DE 3,50 M</v>
          </cell>
          <cell r="C112" t="str">
            <v>M²</v>
          </cell>
          <cell r="D112">
            <v>36.409999999999997</v>
          </cell>
        </row>
        <row r="113">
          <cell r="A113">
            <v>900955</v>
          </cell>
          <cell r="B113" t="str">
            <v>ABERTURA DE ESTRADA DE ACESSO</v>
          </cell>
          <cell r="C113" t="str">
            <v>M</v>
          </cell>
          <cell r="D113">
            <v>4.41</v>
          </cell>
        </row>
        <row r="114">
          <cell r="A114">
            <v>1100934.90952381</v>
          </cell>
          <cell r="B114" t="str">
            <v>MONTAGEM DE ESCADA DE TUBO GALV. E BARRA CHATA COM FIXAÇÃO</v>
          </cell>
          <cell r="C114" t="str">
            <v>H</v>
          </cell>
          <cell r="D114" t="e">
            <v>#REF!</v>
          </cell>
        </row>
        <row r="115">
          <cell r="A115">
            <v>1112183.7949685601</v>
          </cell>
          <cell r="B115" t="str">
            <v>MONTAGEM DE ESCADA DE TUBO GALV. E BARRA CHATA COM FIXAÇÃO</v>
          </cell>
          <cell r="C115" t="str">
            <v>H</v>
          </cell>
          <cell r="D115" t="e">
            <v>#REF!</v>
          </cell>
        </row>
        <row r="116">
          <cell r="A116">
            <v>1123432.6804132999</v>
          </cell>
          <cell r="B116" t="str">
            <v>DEMOLIÇÃO E RECOMPOSIÇÃO DE MEIO FIO ECONÔMICO</v>
          </cell>
          <cell r="C116" t="str">
            <v>M</v>
          </cell>
          <cell r="D116">
            <v>3.51</v>
          </cell>
        </row>
        <row r="117">
          <cell r="A117" t="str">
            <v>E00001</v>
          </cell>
          <cell r="B117" t="str">
            <v>BETONEIRA</v>
          </cell>
          <cell r="C117" t="str">
            <v>H</v>
          </cell>
          <cell r="D117">
            <v>0.75</v>
          </cell>
        </row>
        <row r="118">
          <cell r="A118" t="str">
            <v>E10000</v>
          </cell>
          <cell r="B118" t="str">
            <v>BOMBA DOSADORA TIPO PISTÃO</v>
          </cell>
          <cell r="C118" t="str">
            <v>UND</v>
          </cell>
          <cell r="D118">
            <v>1020</v>
          </cell>
        </row>
        <row r="119">
          <cell r="A119" t="str">
            <v>E10010</v>
          </cell>
          <cell r="B119" t="str">
            <v>BOMBA SUBMERSÍVEL TRIFÁSICA 220 V</v>
          </cell>
          <cell r="C119" t="str">
            <v>UND</v>
          </cell>
          <cell r="D119">
            <v>925</v>
          </cell>
        </row>
        <row r="120">
          <cell r="A120" t="str">
            <v>E10015</v>
          </cell>
          <cell r="B120" t="str">
            <v>CONJUNTO MOTO BOMBA (CAP. FLUTUANTE)</v>
          </cell>
          <cell r="C120" t="str">
            <v>UND</v>
          </cell>
          <cell r="D120">
            <v>1100</v>
          </cell>
        </row>
        <row r="121">
          <cell r="A121" t="str">
            <v>F00001</v>
          </cell>
          <cell r="B121" t="str">
            <v>FERRAMENTAL</v>
          </cell>
          <cell r="C121" t="str">
            <v>UND</v>
          </cell>
          <cell r="D121">
            <v>1</v>
          </cell>
        </row>
        <row r="122">
          <cell r="A122" t="str">
            <v>F10010</v>
          </cell>
          <cell r="B122" t="str">
            <v>CABO TRIFÁSICO 10MM</v>
          </cell>
          <cell r="C122" t="str">
            <v>M</v>
          </cell>
          <cell r="D122">
            <v>1.1000000000000001</v>
          </cell>
        </row>
        <row r="123">
          <cell r="A123" t="str">
            <v>F10211</v>
          </cell>
          <cell r="B123" t="str">
            <v>FIO 2,5MM²</v>
          </cell>
          <cell r="C123" t="str">
            <v>M</v>
          </cell>
          <cell r="D123">
            <v>0.32</v>
          </cell>
        </row>
        <row r="124">
          <cell r="A124" t="str">
            <v>F10212</v>
          </cell>
          <cell r="B124" t="str">
            <v>FIO 1,5MM²</v>
          </cell>
          <cell r="C124" t="str">
            <v>M</v>
          </cell>
          <cell r="D124">
            <v>0.2</v>
          </cell>
        </row>
        <row r="125">
          <cell r="A125" t="str">
            <v>F10220</v>
          </cell>
          <cell r="B125" t="str">
            <v>TOMADA UNIVERSAL SOBREPOR</v>
          </cell>
          <cell r="C125" t="str">
            <v>UND</v>
          </cell>
          <cell r="D125">
            <v>3.8</v>
          </cell>
        </row>
        <row r="126">
          <cell r="A126" t="str">
            <v>F10225</v>
          </cell>
          <cell r="B126" t="str">
            <v>INTERRUPTOR SIMPLES SOBREPOR</v>
          </cell>
          <cell r="C126" t="str">
            <v>UND</v>
          </cell>
          <cell r="D126">
            <v>2.48</v>
          </cell>
        </row>
        <row r="127">
          <cell r="A127" t="str">
            <v>F10230</v>
          </cell>
          <cell r="B127" t="str">
            <v>BOCAL COM LÂMPADA C/ 1 CABEÇOTE, MOTOR DE 1/3CV, F</v>
          </cell>
          <cell r="C127" t="str">
            <v>UND</v>
          </cell>
          <cell r="D127">
            <v>1.49</v>
          </cell>
        </row>
        <row r="128">
          <cell r="A128" t="str">
            <v>H14044</v>
          </cell>
          <cell r="B128" t="str">
            <v xml:space="preserve">FUNDO PREPARADOR </v>
          </cell>
          <cell r="C128" t="str">
            <v>L</v>
          </cell>
          <cell r="D128">
            <v>3.91</v>
          </cell>
        </row>
        <row r="129">
          <cell r="A129" t="str">
            <v>H15010</v>
          </cell>
          <cell r="B129" t="str">
            <v>RED. FOFO 100X80MM PBJE</v>
          </cell>
          <cell r="C129" t="str">
            <v>UND</v>
          </cell>
          <cell r="D129">
            <v>26.98</v>
          </cell>
        </row>
        <row r="130">
          <cell r="A130" t="str">
            <v>H15011</v>
          </cell>
          <cell r="B130" t="str">
            <v>TUBO FOFO FLP L1,00M</v>
          </cell>
          <cell r="C130" t="str">
            <v>UND</v>
          </cell>
          <cell r="D130">
            <v>60.72</v>
          </cell>
        </row>
        <row r="131">
          <cell r="A131" t="str">
            <v>H15012</v>
          </cell>
          <cell r="B131" t="str">
            <v>REGISTRO CHATO C/ FLANGE E CABEÇOTE 80MM</v>
          </cell>
          <cell r="C131" t="str">
            <v>UND</v>
          </cell>
          <cell r="D131">
            <v>108</v>
          </cell>
        </row>
        <row r="132">
          <cell r="A132" t="str">
            <v>H15013</v>
          </cell>
          <cell r="B132" t="str">
            <v>VÁLVULA DE RETENÇÃO FLUXO AXIAL C/ FECHAM. RÁPIDO TIPO WAFER</v>
          </cell>
          <cell r="C132" t="str">
            <v>UND</v>
          </cell>
          <cell r="D132">
            <v>108</v>
          </cell>
        </row>
        <row r="133">
          <cell r="A133" t="str">
            <v>H15015</v>
          </cell>
          <cell r="B133" t="str">
            <v>VENTOSA FOFO VSF 50MM PN10</v>
          </cell>
          <cell r="C133" t="str">
            <v>UND</v>
          </cell>
          <cell r="D133">
            <v>306</v>
          </cell>
        </row>
        <row r="134">
          <cell r="A134" t="str">
            <v>H15016</v>
          </cell>
          <cell r="B134" t="str">
            <v>REGISTRO CHATO FOFO C/ FL E CABEÇOTE 50MM PN10</v>
          </cell>
          <cell r="C134" t="str">
            <v>UND</v>
          </cell>
          <cell r="D134">
            <v>90</v>
          </cell>
        </row>
        <row r="135">
          <cell r="A135" t="str">
            <v>H15017</v>
          </cell>
          <cell r="B135" t="str">
            <v>TÊ COM FLANGE FOFO 80X50MM</v>
          </cell>
          <cell r="C135" t="str">
            <v>UND</v>
          </cell>
          <cell r="D135">
            <v>53.93</v>
          </cell>
        </row>
        <row r="136">
          <cell r="A136" t="str">
            <v>H15018</v>
          </cell>
          <cell r="B136" t="str">
            <v>TUBO COM FLANGE FOFO L=1,00M 80MM</v>
          </cell>
          <cell r="C136" t="str">
            <v>UND</v>
          </cell>
          <cell r="D136">
            <v>65.709999999999994</v>
          </cell>
        </row>
        <row r="137">
          <cell r="A137" t="str">
            <v>H15019</v>
          </cell>
          <cell r="B137" t="str">
            <v>MANGOTE FLEXÍVEL C/ FLANGE L=10,00M  80MM  PN 10</v>
          </cell>
          <cell r="C137" t="str">
            <v>UND</v>
          </cell>
          <cell r="D137">
            <v>105</v>
          </cell>
        </row>
        <row r="138">
          <cell r="A138" t="str">
            <v>H15020</v>
          </cell>
          <cell r="B138" t="str">
            <v>TUBO DE AÇO FLP 80MM PN10 L=1,30M</v>
          </cell>
          <cell r="C138" t="str">
            <v>UND</v>
          </cell>
          <cell r="D138">
            <v>138.66999999999999</v>
          </cell>
        </row>
        <row r="139">
          <cell r="A139" t="str">
            <v>H15021</v>
          </cell>
          <cell r="B139" t="str">
            <v>REDUÇÃO AÇO FLP L=0,15M PN10</v>
          </cell>
          <cell r="C139" t="str">
            <v>UND</v>
          </cell>
          <cell r="D139">
            <v>54</v>
          </cell>
        </row>
        <row r="140">
          <cell r="A140" t="str">
            <v>H15022</v>
          </cell>
          <cell r="B140" t="str">
            <v>REDUÇÃO NORMAL AÇO PN10 L=0,15</v>
          </cell>
          <cell r="C140" t="str">
            <v>UND</v>
          </cell>
          <cell r="D140">
            <v>94</v>
          </cell>
        </row>
        <row r="141">
          <cell r="A141" t="str">
            <v>H15023</v>
          </cell>
          <cell r="B141" t="str">
            <v>TUBO FLP L=4,20M PN 10 DN 100MM</v>
          </cell>
          <cell r="C141" t="str">
            <v>UND</v>
          </cell>
          <cell r="D141">
            <v>138.4</v>
          </cell>
        </row>
        <row r="142">
          <cell r="A142" t="str">
            <v>H15080</v>
          </cell>
          <cell r="B142" t="str">
            <v>TUBO GALVANIZADO ROSCÁVEL 2"</v>
          </cell>
          <cell r="C142" t="str">
            <v>M</v>
          </cell>
          <cell r="D142">
            <v>15.74</v>
          </cell>
        </row>
        <row r="143">
          <cell r="A143" t="str">
            <v>H15085</v>
          </cell>
          <cell r="B143" t="str">
            <v>LUVA GALVANIZADO ROSCÁVEL 50MM</v>
          </cell>
          <cell r="C143" t="str">
            <v>UND</v>
          </cell>
          <cell r="D143">
            <v>7.12</v>
          </cell>
        </row>
        <row r="144">
          <cell r="A144" t="str">
            <v>H15086</v>
          </cell>
          <cell r="B144" t="str">
            <v>CURVA FERRO GALVANIZADO 45ºX2"</v>
          </cell>
          <cell r="C144" t="str">
            <v>UND</v>
          </cell>
          <cell r="D144">
            <v>14.85</v>
          </cell>
        </row>
        <row r="145">
          <cell r="A145" t="str">
            <v>H15087</v>
          </cell>
          <cell r="B145" t="str">
            <v>UNIÃO MACHO-FÊMEA FERRO GALVANIZADO 2"</v>
          </cell>
          <cell r="C145" t="str">
            <v>UND</v>
          </cell>
          <cell r="D145">
            <v>11</v>
          </cell>
        </row>
        <row r="146">
          <cell r="A146" t="str">
            <v>H15088</v>
          </cell>
          <cell r="B146" t="str">
            <v>VÁLVULA DE RETENÇÃO TIPO PORTINHOLA ÚNICA</v>
          </cell>
          <cell r="C146" t="str">
            <v>UND</v>
          </cell>
          <cell r="D146">
            <v>57.6</v>
          </cell>
        </row>
        <row r="147">
          <cell r="A147" t="str">
            <v>H15089</v>
          </cell>
          <cell r="B147" t="str">
            <v>NIPLE DUPLO DE 2" FERRO GALVANIZADO</v>
          </cell>
          <cell r="C147" t="str">
            <v>UND</v>
          </cell>
          <cell r="D147">
            <v>8.5399999999999991</v>
          </cell>
        </row>
        <row r="148">
          <cell r="A148" t="str">
            <v>H15090</v>
          </cell>
          <cell r="B148" t="str">
            <v>REGISTRO DE GAVETA ROSC 50MM</v>
          </cell>
          <cell r="C148" t="str">
            <v>UND</v>
          </cell>
          <cell r="D148">
            <v>22</v>
          </cell>
        </row>
        <row r="149">
          <cell r="A149" t="str">
            <v>H15091</v>
          </cell>
          <cell r="B149" t="str">
            <v>NIPLE DUPLO F. GALVANIZADO 2"</v>
          </cell>
          <cell r="C149" t="str">
            <v>UND</v>
          </cell>
          <cell r="D149">
            <v>8.5399999999999991</v>
          </cell>
        </row>
        <row r="150">
          <cell r="A150" t="str">
            <v>H15092</v>
          </cell>
          <cell r="B150" t="str">
            <v>CURVA 90ºX2" FÊMEA ROSCA INTERNA</v>
          </cell>
          <cell r="C150" t="str">
            <v>UND</v>
          </cell>
          <cell r="D150">
            <v>32.31</v>
          </cell>
        </row>
        <row r="151">
          <cell r="A151" t="str">
            <v>H15093</v>
          </cell>
          <cell r="B151" t="str">
            <v>CURVA 90 C/ BOLSA DN 100MM</v>
          </cell>
          <cell r="C151" t="str">
            <v>UND</v>
          </cell>
          <cell r="D151">
            <v>55.9</v>
          </cell>
        </row>
        <row r="152">
          <cell r="A152" t="str">
            <v>H15094</v>
          </cell>
          <cell r="B152" t="str">
            <v>CURVA 90 C/ FLANGES DN 100MM</v>
          </cell>
          <cell r="C152" t="str">
            <v>UND</v>
          </cell>
          <cell r="D152">
            <v>56.6</v>
          </cell>
        </row>
        <row r="153">
          <cell r="A153" t="str">
            <v>H15095</v>
          </cell>
          <cell r="B153" t="str">
            <v>BORRACHA DE RED. FERRO GALVANIZADA 2X1 1/2"</v>
          </cell>
          <cell r="C153" t="str">
            <v>UND</v>
          </cell>
          <cell r="D153">
            <v>4.78</v>
          </cell>
        </row>
        <row r="154">
          <cell r="A154" t="str">
            <v>H15096</v>
          </cell>
          <cell r="B154" t="str">
            <v>TUBO FLANGE PONTA L=0,60 M DN 100MM</v>
          </cell>
          <cell r="C154" t="str">
            <v>UND</v>
          </cell>
          <cell r="D154">
            <v>30.72</v>
          </cell>
        </row>
        <row r="155">
          <cell r="A155" t="str">
            <v>H15097</v>
          </cell>
          <cell r="B155" t="str">
            <v>JOELHO 90º 50MM FERRO GALVANIZADO</v>
          </cell>
          <cell r="C155" t="str">
            <v>UND</v>
          </cell>
          <cell r="D155">
            <v>6.42</v>
          </cell>
        </row>
        <row r="156">
          <cell r="A156" t="str">
            <v>H15098</v>
          </cell>
          <cell r="B156" t="str">
            <v>FLANGE SEXTAVADO DN 75MM</v>
          </cell>
          <cell r="C156" t="str">
            <v>UND</v>
          </cell>
          <cell r="D156">
            <v>16.18</v>
          </cell>
        </row>
        <row r="157">
          <cell r="A157" t="str">
            <v>H15099</v>
          </cell>
          <cell r="B157" t="str">
            <v>TUBO ROSCÁVEL L=4,20M 100MM</v>
          </cell>
          <cell r="C157" t="str">
            <v>UND</v>
          </cell>
          <cell r="D157">
            <v>138.24</v>
          </cell>
        </row>
        <row r="158">
          <cell r="A158" t="str">
            <v>H15100</v>
          </cell>
          <cell r="B158" t="str">
            <v>NIPLE DUPLO DN 80MM</v>
          </cell>
          <cell r="C158" t="str">
            <v>UND</v>
          </cell>
          <cell r="D158">
            <v>14.5</v>
          </cell>
        </row>
        <row r="159">
          <cell r="A159" t="str">
            <v>H15101</v>
          </cell>
          <cell r="B159" t="str">
            <v>REGISTRO DE GAVETA DN 80MM</v>
          </cell>
          <cell r="C159" t="str">
            <v>UND</v>
          </cell>
          <cell r="D159">
            <v>108</v>
          </cell>
        </row>
        <row r="160">
          <cell r="A160" t="str">
            <v>H15102</v>
          </cell>
          <cell r="B160" t="str">
            <v>TÊ ROSCÁVEL DN 80MM</v>
          </cell>
          <cell r="C160" t="str">
            <v>UND</v>
          </cell>
          <cell r="D160">
            <v>35.4</v>
          </cell>
        </row>
        <row r="161">
          <cell r="A161" t="str">
            <v>H15103</v>
          </cell>
          <cell r="B161" t="str">
            <v>CURVA MACHO FÊMEA 45º DN 80MM</v>
          </cell>
          <cell r="C161" t="str">
            <v>UND</v>
          </cell>
          <cell r="D161">
            <v>31.25</v>
          </cell>
        </row>
        <row r="162">
          <cell r="A162" t="str">
            <v>H15104</v>
          </cell>
          <cell r="B162" t="str">
            <v>TUBO ROSCÁVEL L=1,30M DN 75MM</v>
          </cell>
          <cell r="C162" t="str">
            <v>UND</v>
          </cell>
          <cell r="D162">
            <v>35.5</v>
          </cell>
        </row>
        <row r="163">
          <cell r="A163" t="str">
            <v>H15105</v>
          </cell>
          <cell r="B163" t="str">
            <v>TUBO ROSCÁVEL L=0,90M DN 100MM</v>
          </cell>
          <cell r="C163" t="str">
            <v>UND</v>
          </cell>
          <cell r="D163">
            <v>44.91</v>
          </cell>
        </row>
        <row r="164">
          <cell r="A164" t="str">
            <v>H15106</v>
          </cell>
          <cell r="B164" t="str">
            <v>CURVA MACHO FÊMEA 90º ND 100MM</v>
          </cell>
          <cell r="C164" t="str">
            <v>ND</v>
          </cell>
          <cell r="D164">
            <v>77.489999999999995</v>
          </cell>
        </row>
        <row r="165">
          <cell r="A165" t="str">
            <v>H15107</v>
          </cell>
          <cell r="B165" t="str">
            <v>TUBO ROSCÁVEL L=2,95M DN 100MM</v>
          </cell>
          <cell r="C165" t="str">
            <v>UND</v>
          </cell>
          <cell r="D165">
            <v>104.43</v>
          </cell>
        </row>
        <row r="166">
          <cell r="A166" t="str">
            <v>H15108</v>
          </cell>
          <cell r="B166" t="str">
            <v>TUBO C/ FLANGE E PONTA L=0,20M DN 50MM</v>
          </cell>
          <cell r="C166" t="str">
            <v>UND</v>
          </cell>
          <cell r="D166">
            <v>6.7</v>
          </cell>
        </row>
        <row r="167">
          <cell r="A167" t="str">
            <v>H15109</v>
          </cell>
          <cell r="B167" t="str">
            <v>TUBO ROSCÁVEL L=4,0M 75MM</v>
          </cell>
          <cell r="C167" t="str">
            <v>UND</v>
          </cell>
          <cell r="D167">
            <v>109.23</v>
          </cell>
        </row>
        <row r="168">
          <cell r="A168" t="str">
            <v>H15110</v>
          </cell>
          <cell r="B168" t="str">
            <v>TÊ 50MM FERRO GALVANIZADO</v>
          </cell>
          <cell r="C168" t="str">
            <v>UND</v>
          </cell>
          <cell r="D168">
            <v>7.41</v>
          </cell>
        </row>
        <row r="169">
          <cell r="A169" t="str">
            <v>H15111</v>
          </cell>
          <cell r="B169" t="str">
            <v>NIPLE DUPLO DN 75MM</v>
          </cell>
          <cell r="C169" t="str">
            <v>UND</v>
          </cell>
          <cell r="D169">
            <v>14.5</v>
          </cell>
        </row>
        <row r="170">
          <cell r="A170" t="str">
            <v>H15112</v>
          </cell>
          <cell r="B170" t="str">
            <v>REGISTRO DE GAVETA DN 75MM</v>
          </cell>
          <cell r="C170" t="str">
            <v>UND</v>
          </cell>
          <cell r="D170">
            <v>108</v>
          </cell>
        </row>
        <row r="171">
          <cell r="A171" t="str">
            <v>H15113</v>
          </cell>
          <cell r="B171" t="str">
            <v>CRIVO ROSC. DN 75MM</v>
          </cell>
          <cell r="C171" t="str">
            <v>UND</v>
          </cell>
          <cell r="D171">
            <v>59.9</v>
          </cell>
        </row>
        <row r="172">
          <cell r="A172" t="str">
            <v>H15114</v>
          </cell>
          <cell r="B172" t="str">
            <v>CURVA FÊMEA 90º DN 100MM</v>
          </cell>
          <cell r="C172" t="str">
            <v>UND</v>
          </cell>
          <cell r="D172">
            <v>77.489999999999995</v>
          </cell>
        </row>
        <row r="173">
          <cell r="A173" t="str">
            <v>H20001</v>
          </cell>
          <cell r="B173" t="str">
            <v>TUBO PVC ESGOTO BRANCO 100MM</v>
          </cell>
          <cell r="C173" t="str">
            <v>M</v>
          </cell>
          <cell r="D173">
            <v>2.35</v>
          </cell>
        </row>
        <row r="174">
          <cell r="A174" t="str">
            <v>H20002</v>
          </cell>
          <cell r="B174" t="str">
            <v>TUBO PVC ESGOTO BRANCO 50MM</v>
          </cell>
          <cell r="C174" t="str">
            <v>M</v>
          </cell>
          <cell r="D174">
            <v>2.1</v>
          </cell>
        </row>
        <row r="175">
          <cell r="A175" t="str">
            <v>H20003</v>
          </cell>
          <cell r="B175" t="str">
            <v>RALO SINFONADO 100MM</v>
          </cell>
          <cell r="C175" t="str">
            <v>UND</v>
          </cell>
          <cell r="D175">
            <v>3.09</v>
          </cell>
        </row>
        <row r="176">
          <cell r="A176" t="str">
            <v>H20004</v>
          </cell>
          <cell r="B176" t="str">
            <v>CURVA PVC ESGOTO 90º DN 100MM</v>
          </cell>
          <cell r="C176" t="str">
            <v>UND</v>
          </cell>
          <cell r="D176">
            <v>6.09</v>
          </cell>
        </row>
        <row r="177">
          <cell r="A177" t="str">
            <v>H20007</v>
          </cell>
          <cell r="B177" t="str">
            <v>CURVA PVC ESGOTO 90º DN 50MM</v>
          </cell>
          <cell r="C177" t="str">
            <v>UND</v>
          </cell>
          <cell r="D177">
            <v>2.08</v>
          </cell>
        </row>
        <row r="178">
          <cell r="A178" t="str">
            <v>H20010</v>
          </cell>
          <cell r="B178" t="str">
            <v>TUBO PVC ESGOTO RIGIDO 100MM</v>
          </cell>
          <cell r="C178" t="str">
            <v>M</v>
          </cell>
          <cell r="D178">
            <v>7.25</v>
          </cell>
        </row>
        <row r="179">
          <cell r="A179" t="str">
            <v>H20017</v>
          </cell>
          <cell r="B179" t="str">
            <v>TUBO PVC PBA CL12 50MM</v>
          </cell>
          <cell r="C179" t="str">
            <v>M</v>
          </cell>
          <cell r="D179">
            <v>2.04</v>
          </cell>
        </row>
        <row r="180">
          <cell r="A180" t="str">
            <v>H20018</v>
          </cell>
          <cell r="B180" t="str">
            <v>TUBO PVC PBA CL12 75MM</v>
          </cell>
          <cell r="C180" t="str">
            <v>M</v>
          </cell>
          <cell r="D180">
            <v>3.04</v>
          </cell>
        </row>
        <row r="181">
          <cell r="A181" t="str">
            <v>H20019</v>
          </cell>
          <cell r="B181" t="str">
            <v>TUBO DE AÇO GALVANIZADO DN 50MM</v>
          </cell>
          <cell r="C181" t="str">
            <v>M</v>
          </cell>
          <cell r="D181">
            <v>15.74</v>
          </cell>
        </row>
        <row r="182">
          <cell r="A182" t="str">
            <v>H20030</v>
          </cell>
          <cell r="B182" t="str">
            <v>TUBO PVC SOLD. P/ ÁGUA 32MM</v>
          </cell>
          <cell r="C182" t="str">
            <v>M</v>
          </cell>
          <cell r="D182">
            <v>2.0499999999999998</v>
          </cell>
        </row>
        <row r="183">
          <cell r="A183" t="str">
            <v>H20032</v>
          </cell>
          <cell r="B183" t="str">
            <v>TUBO PVC SOLD. P/ ÁGUA 20MM</v>
          </cell>
          <cell r="C183" t="str">
            <v>M</v>
          </cell>
          <cell r="D183">
            <v>0.72</v>
          </cell>
        </row>
        <row r="184">
          <cell r="A184" t="str">
            <v>H20050</v>
          </cell>
          <cell r="B184" t="str">
            <v>CURVA PVC VINILFER 45º X100MM</v>
          </cell>
          <cell r="C184" t="str">
            <v>UND</v>
          </cell>
          <cell r="D184">
            <v>30.14</v>
          </cell>
        </row>
        <row r="185">
          <cell r="A185" t="str">
            <v>H20053</v>
          </cell>
          <cell r="B185" t="str">
            <v>CURVA PVC VINILFER 22º X100MM</v>
          </cell>
          <cell r="C185" t="str">
            <v>UND</v>
          </cell>
          <cell r="D185">
            <v>29.34</v>
          </cell>
        </row>
        <row r="186">
          <cell r="A186" t="str">
            <v>H20062</v>
          </cell>
          <cell r="B186" t="str">
            <v>CURVA PVC VINILFER 90º X100MM</v>
          </cell>
          <cell r="C186" t="str">
            <v>UND</v>
          </cell>
          <cell r="D186">
            <v>34.14</v>
          </cell>
        </row>
        <row r="187">
          <cell r="A187" t="str">
            <v>H20063</v>
          </cell>
          <cell r="B187" t="str">
            <v>CURVA PVC PBA 45º X50MM</v>
          </cell>
          <cell r="C187" t="str">
            <v>UND</v>
          </cell>
          <cell r="D187">
            <v>4.7</v>
          </cell>
        </row>
        <row r="188">
          <cell r="A188" t="str">
            <v>H20064</v>
          </cell>
          <cell r="B188" t="str">
            <v>CURVA PVC VINILFER 90º X50MM</v>
          </cell>
          <cell r="C188" t="str">
            <v>UND</v>
          </cell>
          <cell r="D188">
            <v>5.48</v>
          </cell>
        </row>
        <row r="189">
          <cell r="A189" t="str">
            <v>H20067</v>
          </cell>
          <cell r="B189" t="str">
            <v>TÊ PVC PBA BBB 75X50MM</v>
          </cell>
          <cell r="C189" t="str">
            <v>UND</v>
          </cell>
          <cell r="D189">
            <v>5.15</v>
          </cell>
        </row>
        <row r="190">
          <cell r="A190" t="str">
            <v>H20068</v>
          </cell>
          <cell r="B190" t="str">
            <v>TÊ PVC PBA 100X50MM</v>
          </cell>
          <cell r="C190" t="str">
            <v>UND</v>
          </cell>
          <cell r="D190">
            <v>20.51</v>
          </cell>
        </row>
        <row r="191">
          <cell r="A191" t="str">
            <v>H20069</v>
          </cell>
          <cell r="B191" t="str">
            <v>TÊ PVC PBA 50X50MM</v>
          </cell>
          <cell r="C191" t="str">
            <v>UND</v>
          </cell>
          <cell r="D191">
            <v>6.41</v>
          </cell>
        </row>
        <row r="192">
          <cell r="A192" t="str">
            <v>H20070</v>
          </cell>
          <cell r="B192" t="str">
            <v>TÊ PVC BBB 75 MM</v>
          </cell>
          <cell r="C192" t="str">
            <v>UND</v>
          </cell>
          <cell r="D192">
            <v>13.4</v>
          </cell>
        </row>
        <row r="193">
          <cell r="A193" t="str">
            <v>H20071</v>
          </cell>
          <cell r="B193" t="str">
            <v>TÊ PVC BBB 50 MM</v>
          </cell>
          <cell r="C193" t="str">
            <v>UND</v>
          </cell>
          <cell r="D193">
            <v>5.36</v>
          </cell>
        </row>
        <row r="194">
          <cell r="A194" t="str">
            <v>H20080</v>
          </cell>
          <cell r="B194" t="str">
            <v>JOELHO 90º PVC 32MM</v>
          </cell>
          <cell r="C194" t="str">
            <v>UND</v>
          </cell>
          <cell r="D194">
            <v>0.49</v>
          </cell>
        </row>
        <row r="195">
          <cell r="A195" t="str">
            <v>H20082</v>
          </cell>
          <cell r="B195" t="str">
            <v>JOELHO 90º PVC 20MM</v>
          </cell>
          <cell r="C195" t="str">
            <v>UND</v>
          </cell>
          <cell r="D195">
            <v>0.2</v>
          </cell>
        </row>
        <row r="196">
          <cell r="A196" t="str">
            <v>H20087</v>
          </cell>
          <cell r="B196" t="str">
            <v>COLAR DE TOMADA C/ TRAVA 50X1/2"</v>
          </cell>
          <cell r="C196" t="str">
            <v>UND</v>
          </cell>
          <cell r="D196">
            <v>1.32</v>
          </cell>
        </row>
        <row r="197">
          <cell r="A197" t="str">
            <v>H20088</v>
          </cell>
          <cell r="B197" t="str">
            <v>ADAPTADOR PVC SOLD. CURTO 20X1/2"</v>
          </cell>
          <cell r="C197" t="str">
            <v>UND</v>
          </cell>
          <cell r="D197">
            <v>4.03</v>
          </cell>
        </row>
        <row r="198">
          <cell r="A198" t="str">
            <v>H20090</v>
          </cell>
          <cell r="B198" t="str">
            <v>REDUÇÃO PVC PBA 75X50MM CL 12</v>
          </cell>
          <cell r="C198" t="str">
            <v>UND</v>
          </cell>
          <cell r="D198">
            <v>4.75</v>
          </cell>
        </row>
        <row r="199">
          <cell r="A199" t="str">
            <v>H20095</v>
          </cell>
          <cell r="B199" t="str">
            <v>CAP PVC PBA 50MM</v>
          </cell>
          <cell r="C199" t="str">
            <v>UND</v>
          </cell>
          <cell r="D199">
            <v>2.12</v>
          </cell>
        </row>
        <row r="200">
          <cell r="A200" t="str">
            <v>H21008</v>
          </cell>
          <cell r="B200" t="str">
            <v>ANEL DE BORRACHA P/ PVC 150MM</v>
          </cell>
          <cell r="C200" t="str">
            <v>UND</v>
          </cell>
          <cell r="D200">
            <v>3.96</v>
          </cell>
        </row>
        <row r="201">
          <cell r="A201" t="str">
            <v>H21009</v>
          </cell>
          <cell r="B201" t="str">
            <v>ANEL DE BORRACHA P/ PVCPBA 100MM</v>
          </cell>
          <cell r="C201" t="str">
            <v>UND</v>
          </cell>
          <cell r="D201">
            <v>0.83</v>
          </cell>
        </row>
        <row r="202">
          <cell r="A202" t="str">
            <v>H21010</v>
          </cell>
          <cell r="B202" t="str">
            <v>ANEL DE BORRACHA P/ PVCPBA 75MM</v>
          </cell>
          <cell r="C202" t="str">
            <v>UND</v>
          </cell>
          <cell r="D202">
            <v>0.77</v>
          </cell>
        </row>
        <row r="203">
          <cell r="A203" t="str">
            <v>H21011</v>
          </cell>
          <cell r="B203" t="str">
            <v>ANEL DE BORRACHA P/ PVCPBA 50MM</v>
          </cell>
          <cell r="C203" t="str">
            <v>UND</v>
          </cell>
          <cell r="D203">
            <v>0.35</v>
          </cell>
        </row>
        <row r="204">
          <cell r="A204" t="str">
            <v>H21012</v>
          </cell>
          <cell r="B204" t="str">
            <v>ANEL DE BORRACHA P/ PVCPBA 50MM</v>
          </cell>
          <cell r="C204" t="str">
            <v>UND</v>
          </cell>
          <cell r="D204">
            <v>3.96</v>
          </cell>
        </row>
        <row r="205">
          <cell r="A205" t="str">
            <v>H22000</v>
          </cell>
          <cell r="B205" t="str">
            <v>PASTA LUBRIFICANTE P/ PVC</v>
          </cell>
          <cell r="C205" t="str">
            <v>KG</v>
          </cell>
          <cell r="D205">
            <v>14.92</v>
          </cell>
        </row>
        <row r="206">
          <cell r="A206" t="str">
            <v>H22500</v>
          </cell>
          <cell r="B206" t="str">
            <v>VEDAROSCA P/ TUBO PVC (20MM)</v>
          </cell>
          <cell r="C206" t="str">
            <v>UND</v>
          </cell>
          <cell r="D206">
            <v>1.1000000000000001</v>
          </cell>
        </row>
        <row r="207">
          <cell r="A207" t="str">
            <v>H30023</v>
          </cell>
          <cell r="B207" t="str">
            <v>REGISTRO DE GAVETA BRUTO 1/2"</v>
          </cell>
          <cell r="C207" t="str">
            <v>UND</v>
          </cell>
          <cell r="D207">
            <v>5.25</v>
          </cell>
        </row>
        <row r="208">
          <cell r="A208" t="str">
            <v>H30024</v>
          </cell>
          <cell r="B208" t="str">
            <v>VENTOSA SIMPLES 50MM</v>
          </cell>
          <cell r="C208" t="str">
            <v>UND</v>
          </cell>
          <cell r="D208">
            <v>57.6</v>
          </cell>
        </row>
        <row r="209">
          <cell r="A209" t="str">
            <v>H30040</v>
          </cell>
          <cell r="B209" t="str">
            <v>HIDRÔMETRO 1/2"X 3M³/H</v>
          </cell>
          <cell r="C209" t="str">
            <v>UND</v>
          </cell>
          <cell r="D209">
            <v>24.1</v>
          </cell>
        </row>
        <row r="210">
          <cell r="A210" t="str">
            <v>H40010</v>
          </cell>
          <cell r="B210" t="str">
            <v>TORNEIRA 3/4" PARA CHAFARIZ</v>
          </cell>
          <cell r="C210" t="str">
            <v>UND</v>
          </cell>
          <cell r="D210">
            <v>6</v>
          </cell>
        </row>
        <row r="211">
          <cell r="A211" t="str">
            <v>H40015</v>
          </cell>
          <cell r="B211" t="str">
            <v>VASO SANITÁRIO BRANCO</v>
          </cell>
          <cell r="C211" t="str">
            <v>UND</v>
          </cell>
          <cell r="D211">
            <v>52.98</v>
          </cell>
        </row>
        <row r="212">
          <cell r="A212" t="str">
            <v>H40016</v>
          </cell>
          <cell r="B212" t="str">
            <v>LAVATÓRIO S/ COLUNA - BRANCO</v>
          </cell>
          <cell r="C212" t="str">
            <v>UND</v>
          </cell>
          <cell r="D212">
            <v>21.5</v>
          </cell>
        </row>
        <row r="213">
          <cell r="A213" t="str">
            <v>H40017</v>
          </cell>
          <cell r="B213" t="str">
            <v>SIFÃO PARA LAVATÓRIO</v>
          </cell>
          <cell r="C213" t="str">
            <v>UND</v>
          </cell>
          <cell r="D213">
            <v>4.2699999999999996</v>
          </cell>
        </row>
        <row r="214">
          <cell r="A214" t="str">
            <v>H40018</v>
          </cell>
          <cell r="B214" t="str">
            <v>CAIXA DE DESCARGA EXTERNA</v>
          </cell>
          <cell r="C214" t="str">
            <v>UND</v>
          </cell>
          <cell r="D214">
            <v>9.75</v>
          </cell>
        </row>
        <row r="215">
          <cell r="A215" t="str">
            <v>H40020</v>
          </cell>
          <cell r="B215" t="str">
            <v>REGISTRO DE GAVETA 1/2"</v>
          </cell>
          <cell r="C215" t="str">
            <v>UND</v>
          </cell>
          <cell r="D215">
            <v>5.8</v>
          </cell>
        </row>
        <row r="216">
          <cell r="A216" t="str">
            <v>H40021</v>
          </cell>
          <cell r="B216" t="str">
            <v>TORNEIRA DE 1/2"</v>
          </cell>
          <cell r="C216" t="str">
            <v>UND</v>
          </cell>
          <cell r="D216">
            <v>8.5</v>
          </cell>
        </row>
        <row r="217">
          <cell r="A217" t="str">
            <v>H50000</v>
          </cell>
          <cell r="B217" t="str">
            <v>BUCHA DE REDUÇÃO DN 2"X1 1/2 GALV.</v>
          </cell>
          <cell r="C217" t="str">
            <v>UND</v>
          </cell>
          <cell r="D217">
            <v>4.78</v>
          </cell>
        </row>
        <row r="218">
          <cell r="A218" t="str">
            <v>H50010</v>
          </cell>
          <cell r="B218" t="str">
            <v>CURVA  PVC PBA 45º DN 100MM CL 15</v>
          </cell>
          <cell r="C218" t="str">
            <v>UND</v>
          </cell>
          <cell r="D218">
            <v>30.14</v>
          </cell>
        </row>
        <row r="219">
          <cell r="A219" t="str">
            <v>H50020</v>
          </cell>
          <cell r="B219" t="str">
            <v>TUBO FLP L=0,50 M DN = 50MM</v>
          </cell>
          <cell r="C219" t="str">
            <v>UND</v>
          </cell>
          <cell r="D219">
            <v>26.11</v>
          </cell>
        </row>
        <row r="220">
          <cell r="A220" t="str">
            <v>H50021</v>
          </cell>
          <cell r="B220" t="str">
            <v>CURVA 90º C/ FL 50 MM</v>
          </cell>
          <cell r="C220" t="str">
            <v>UND</v>
          </cell>
          <cell r="D220">
            <v>5.84</v>
          </cell>
        </row>
        <row r="221">
          <cell r="A221" t="str">
            <v>H50022</v>
          </cell>
          <cell r="B221" t="str">
            <v>TUBO ROSCÁVEL 100MM AÇO GALVANIZADO L= 1,55 M</v>
          </cell>
          <cell r="C221" t="str">
            <v>UND</v>
          </cell>
          <cell r="D221">
            <v>77.34</v>
          </cell>
        </row>
        <row r="222">
          <cell r="A222" t="str">
            <v>H50023</v>
          </cell>
          <cell r="B222" t="str">
            <v>TUBO ROSCÁVEL 100MM AÇO GALVANIZADO L= 6.00 M</v>
          </cell>
          <cell r="C222" t="str">
            <v>UND</v>
          </cell>
          <cell r="D222">
            <v>229.4</v>
          </cell>
        </row>
        <row r="223">
          <cell r="A223" t="str">
            <v>H50024</v>
          </cell>
          <cell r="B223" t="str">
            <v>TUBO ROSCÁVEL 100MM AÇO GALVANIZADO L= 0.40 M</v>
          </cell>
          <cell r="C223" t="str">
            <v>UND</v>
          </cell>
          <cell r="D223">
            <v>19.96</v>
          </cell>
        </row>
        <row r="224">
          <cell r="A224" t="str">
            <v>H50030</v>
          </cell>
          <cell r="B224" t="str">
            <v>REGISTRO DE GAVETA ROSCÁVEL 100MM  BRONZE</v>
          </cell>
          <cell r="C224" t="str">
            <v>UND</v>
          </cell>
          <cell r="D224">
            <v>258</v>
          </cell>
        </row>
        <row r="225">
          <cell r="A225" t="str">
            <v>H50040</v>
          </cell>
          <cell r="B225" t="str">
            <v>TUBO ROSCÁVAL  GALV. 100MM  L=1,00M</v>
          </cell>
          <cell r="C225" t="str">
            <v>UND</v>
          </cell>
          <cell r="D225">
            <v>49.99</v>
          </cell>
        </row>
        <row r="226">
          <cell r="A226" t="str">
            <v>H50045</v>
          </cell>
          <cell r="B226" t="str">
            <v>TUBO ROSCÁVAL  GALV. 100MM  L=4,60M</v>
          </cell>
          <cell r="C226" t="str">
            <v>UND</v>
          </cell>
          <cell r="D226">
            <v>229.54</v>
          </cell>
        </row>
        <row r="227">
          <cell r="A227" t="str">
            <v>H50046</v>
          </cell>
          <cell r="B227" t="str">
            <v>TUBO ROSCÁVAL  GALV. 100MM  L=6,00M</v>
          </cell>
          <cell r="C227" t="str">
            <v>UND</v>
          </cell>
          <cell r="D227">
            <v>299.39999999999998</v>
          </cell>
        </row>
        <row r="228">
          <cell r="A228" t="str">
            <v>H50050</v>
          </cell>
          <cell r="B228" t="str">
            <v>TUBO PVC PBA 75MM L=6,00M</v>
          </cell>
          <cell r="C228" t="str">
            <v>UND</v>
          </cell>
          <cell r="D228">
            <v>25.32</v>
          </cell>
        </row>
        <row r="229">
          <cell r="A229" t="str">
            <v>H50051</v>
          </cell>
          <cell r="B229" t="str">
            <v>ADAPTADOR PBA L=0,80 M DN 80MM</v>
          </cell>
          <cell r="C229" t="str">
            <v>UND</v>
          </cell>
          <cell r="D229">
            <v>10.23</v>
          </cell>
        </row>
        <row r="230">
          <cell r="A230" t="str">
            <v>H50059</v>
          </cell>
          <cell r="B230" t="str">
            <v>TUBO ROSCÁVEL FERRO GALV 80MM L=6,00M</v>
          </cell>
          <cell r="C230" t="str">
            <v>UND</v>
          </cell>
          <cell r="D230">
            <v>299.39999999999998</v>
          </cell>
        </row>
        <row r="231">
          <cell r="A231" t="str">
            <v>H50060</v>
          </cell>
          <cell r="B231" t="str">
            <v>TUBO ROSCÁVEL FERRO GALV. 50MM L=0,55M</v>
          </cell>
          <cell r="C231" t="str">
            <v>UND</v>
          </cell>
          <cell r="D231">
            <v>27.45</v>
          </cell>
        </row>
        <row r="232">
          <cell r="A232" t="str">
            <v>H50065</v>
          </cell>
          <cell r="B232" t="str">
            <v>TUBO ROSCÁVEL FERRO GALV. 50MM L=2,60M</v>
          </cell>
          <cell r="C232" t="str">
            <v>UND</v>
          </cell>
          <cell r="D232">
            <v>229.4</v>
          </cell>
        </row>
        <row r="233">
          <cell r="A233" t="str">
            <v>H50066</v>
          </cell>
          <cell r="B233" t="str">
            <v>TUBO ROSCÁVEL DE FERRO GALV.  50MM L=5,00M</v>
          </cell>
          <cell r="C233" t="str">
            <v>UND</v>
          </cell>
          <cell r="D233">
            <v>249.5</v>
          </cell>
        </row>
        <row r="234">
          <cell r="A234" t="str">
            <v>H50067</v>
          </cell>
          <cell r="B234" t="str">
            <v>TUBO ROSCÁVEL DE FERRO GALV.  50MM L=6,00M</v>
          </cell>
          <cell r="C234" t="str">
            <v>UND</v>
          </cell>
          <cell r="D234">
            <v>299.39999999999998</v>
          </cell>
        </row>
        <row r="235">
          <cell r="A235" t="str">
            <v>H50070</v>
          </cell>
          <cell r="B235" t="str">
            <v xml:space="preserve">CURVA 90º  50MM FERRO GALV. </v>
          </cell>
          <cell r="C235" t="str">
            <v>UND</v>
          </cell>
          <cell r="D235">
            <v>14.85</v>
          </cell>
        </row>
        <row r="236">
          <cell r="A236" t="str">
            <v>H50090</v>
          </cell>
          <cell r="B236" t="str">
            <v xml:space="preserve">CAP 75MM PVC PBA </v>
          </cell>
          <cell r="C236" t="str">
            <v>UND</v>
          </cell>
          <cell r="D236">
            <v>2.89</v>
          </cell>
        </row>
        <row r="237">
          <cell r="A237" t="str">
            <v>H50100</v>
          </cell>
          <cell r="B237" t="str">
            <v>CURVA PVC PBA 22º 30'DN 50MM</v>
          </cell>
          <cell r="C237" t="str">
            <v>UND</v>
          </cell>
          <cell r="D237">
            <v>4.97</v>
          </cell>
        </row>
        <row r="238">
          <cell r="A238" t="str">
            <v>H50110</v>
          </cell>
          <cell r="B238" t="str">
            <v>CURVA PVC PBA 22º 30'DN 75MM</v>
          </cell>
          <cell r="C238" t="str">
            <v>UND</v>
          </cell>
          <cell r="D238">
            <v>18.63</v>
          </cell>
        </row>
        <row r="239">
          <cell r="A239" t="str">
            <v>H50114</v>
          </cell>
          <cell r="B239" t="str">
            <v>TUBO DE F°F° JE DN 150 MM</v>
          </cell>
          <cell r="C239" t="str">
            <v>M</v>
          </cell>
          <cell r="D239">
            <v>16.239999999999998</v>
          </cell>
        </row>
        <row r="240">
          <cell r="A240" t="str">
            <v>H50115</v>
          </cell>
          <cell r="B240" t="str">
            <v>CURVA PVC PBA 45º 'DN 75MM</v>
          </cell>
          <cell r="C240" t="str">
            <v>UND</v>
          </cell>
          <cell r="D240">
            <v>19.38</v>
          </cell>
        </row>
        <row r="241">
          <cell r="A241" t="str">
            <v>H50116</v>
          </cell>
          <cell r="B241" t="str">
            <v>TUBO  VINIFORT DN 150  MM</v>
          </cell>
          <cell r="C241" t="str">
            <v>M</v>
          </cell>
          <cell r="D241">
            <v>7.32</v>
          </cell>
        </row>
        <row r="242">
          <cell r="A242" t="str">
            <v>H50117</v>
          </cell>
          <cell r="B242" t="str">
            <v>SELIM DN 150 MM</v>
          </cell>
          <cell r="C242" t="str">
            <v>UND</v>
          </cell>
          <cell r="D242">
            <v>16.87</v>
          </cell>
        </row>
        <row r="243">
          <cell r="A243" t="str">
            <v>H50118</v>
          </cell>
          <cell r="B243" t="str">
            <v>LUVA DE CORRER PARA PVC DN 150 MM</v>
          </cell>
          <cell r="C243" t="str">
            <v>UND</v>
          </cell>
          <cell r="D243">
            <v>33.71</v>
          </cell>
        </row>
        <row r="244">
          <cell r="A244" t="str">
            <v>H50119</v>
          </cell>
          <cell r="B244" t="str">
            <v>TAMPÃO FºFº TD-600</v>
          </cell>
          <cell r="C244" t="str">
            <v>UND</v>
          </cell>
          <cell r="D244">
            <v>95</v>
          </cell>
        </row>
        <row r="245">
          <cell r="A245" t="str">
            <v>H50120</v>
          </cell>
          <cell r="B245" t="str">
            <v xml:space="preserve">TUBO PVC DE FºFº DN 50 MM </v>
          </cell>
          <cell r="C245" t="str">
            <v>M</v>
          </cell>
        </row>
        <row r="246">
          <cell r="A246" t="str">
            <v>H50121</v>
          </cell>
          <cell r="B246" t="str">
            <v>TUBO FºFº FL 10 DN  50 MM 4,00 m</v>
          </cell>
          <cell r="C246" t="str">
            <v>UND</v>
          </cell>
          <cell r="D246">
            <v>61.44</v>
          </cell>
        </row>
        <row r="247">
          <cell r="A247" t="str">
            <v>H50122</v>
          </cell>
          <cell r="B247" t="str">
            <v>CURVA 90º FºFº  FL DN 50 MM</v>
          </cell>
          <cell r="C247" t="str">
            <v>UND</v>
          </cell>
          <cell r="D247">
            <v>31</v>
          </cell>
        </row>
        <row r="248">
          <cell r="A248" t="str">
            <v>H50123</v>
          </cell>
          <cell r="B248" t="str">
            <v>CURVA 45º FºFº DN 2B DN 150 MM</v>
          </cell>
          <cell r="C248" t="str">
            <v>UND</v>
          </cell>
          <cell r="D248">
            <v>18.75</v>
          </cell>
        </row>
        <row r="249">
          <cell r="A249" t="str">
            <v>H50124</v>
          </cell>
          <cell r="B249" t="str">
            <v>TÊ PVC DE FºFº 3B DN 150 MM</v>
          </cell>
          <cell r="C249" t="str">
            <v>UND</v>
          </cell>
          <cell r="D249">
            <v>121.93</v>
          </cell>
        </row>
        <row r="250">
          <cell r="A250" t="str">
            <v>H50125</v>
          </cell>
          <cell r="B250" t="str">
            <v>REGISTRO GAVETA FºFº COM CABEÇOTE BV JE DN 150 MM</v>
          </cell>
          <cell r="C250" t="str">
            <v>UND</v>
          </cell>
          <cell r="D250">
            <v>438</v>
          </cell>
        </row>
        <row r="251">
          <cell r="A251" t="str">
            <v>M00001</v>
          </cell>
          <cell r="B251" t="str">
            <v>ESCADA METÁLIA DE BARR CHATA FIXADA COM CHUMBADORES</v>
          </cell>
          <cell r="C251" t="str">
            <v>M</v>
          </cell>
          <cell r="D251">
            <v>62.6</v>
          </cell>
        </row>
        <row r="252">
          <cell r="A252" t="str">
            <v>M10000</v>
          </cell>
          <cell r="B252" t="str">
            <v>QUADRO DE COMANDO (BOMBAS-POÇO TUBULAR)</v>
          </cell>
          <cell r="C252" t="str">
            <v>UND</v>
          </cell>
          <cell r="D252">
            <v>379</v>
          </cell>
        </row>
        <row r="253">
          <cell r="A253" t="str">
            <v>M10001</v>
          </cell>
          <cell r="B253" t="str">
            <v>DIMANTE 40 %</v>
          </cell>
          <cell r="C253" t="str">
            <v>KG</v>
          </cell>
          <cell r="D253">
            <v>4.17</v>
          </cell>
        </row>
        <row r="254">
          <cell r="A254" t="str">
            <v>M10002</v>
          </cell>
          <cell r="B254" t="str">
            <v>ESTOPIM DUPLO</v>
          </cell>
          <cell r="C254" t="str">
            <v>M</v>
          </cell>
          <cell r="D254">
            <v>0.77</v>
          </cell>
        </row>
        <row r="255">
          <cell r="A255" t="str">
            <v>M10003</v>
          </cell>
          <cell r="B255" t="str">
            <v>ESPOLETA</v>
          </cell>
          <cell r="C255" t="str">
            <v>PÇ</v>
          </cell>
          <cell r="D255">
            <v>0.26</v>
          </cell>
        </row>
        <row r="256">
          <cell r="A256" t="str">
            <v>M10010</v>
          </cell>
          <cell r="B256" t="str">
            <v>ESTACA DE CONCRETO PONTA VIRADA H=2,5M</v>
          </cell>
          <cell r="C256" t="str">
            <v>UND</v>
          </cell>
          <cell r="D256">
            <v>7.2</v>
          </cell>
        </row>
        <row r="257">
          <cell r="A257" t="str">
            <v>M10015</v>
          </cell>
          <cell r="B257" t="str">
            <v>GRADE DE RETENÇÃO DE SOLIDOS</v>
          </cell>
          <cell r="C257" t="str">
            <v>UND</v>
          </cell>
          <cell r="D257">
            <v>55</v>
          </cell>
        </row>
        <row r="258">
          <cell r="A258" t="str">
            <v>M14001</v>
          </cell>
          <cell r="B258" t="str">
            <v>TINTA LATEX PVA</v>
          </cell>
          <cell r="C258" t="str">
            <v>L</v>
          </cell>
          <cell r="D258">
            <v>2.68</v>
          </cell>
        </row>
        <row r="259">
          <cell r="A259" t="str">
            <v>M14002</v>
          </cell>
          <cell r="B259" t="str">
            <v>TINTA ACRÍLICA</v>
          </cell>
          <cell r="C259" t="str">
            <v>L</v>
          </cell>
          <cell r="D259">
            <v>4.1100000000000003</v>
          </cell>
        </row>
        <row r="260">
          <cell r="A260" t="str">
            <v>M14003</v>
          </cell>
          <cell r="B260" t="str">
            <v>TINTA ESMALTE</v>
          </cell>
          <cell r="C260" t="str">
            <v>L</v>
          </cell>
          <cell r="D260">
            <v>6.94</v>
          </cell>
        </row>
        <row r="261">
          <cell r="A261" t="str">
            <v>M14004</v>
          </cell>
          <cell r="B261" t="str">
            <v>TRINCHA</v>
          </cell>
          <cell r="C261" t="str">
            <v>UND</v>
          </cell>
          <cell r="D261">
            <v>5.45</v>
          </cell>
        </row>
        <row r="262">
          <cell r="A262" t="str">
            <v>M14015</v>
          </cell>
          <cell r="B262" t="str">
            <v>SOLVENTE</v>
          </cell>
          <cell r="C262" t="str">
            <v>L</v>
          </cell>
          <cell r="D262">
            <v>2.82</v>
          </cell>
        </row>
        <row r="263">
          <cell r="A263" t="str">
            <v>M14016</v>
          </cell>
          <cell r="B263" t="str">
            <v>ZARCÃO</v>
          </cell>
          <cell r="C263" t="str">
            <v>L</v>
          </cell>
          <cell r="D263">
            <v>6</v>
          </cell>
        </row>
        <row r="264">
          <cell r="A264" t="str">
            <v>M14039</v>
          </cell>
          <cell r="B264" t="str">
            <v>DESMOL</v>
          </cell>
          <cell r="C264" t="str">
            <v>KG</v>
          </cell>
          <cell r="D264">
            <v>4.0999999999999996</v>
          </cell>
        </row>
        <row r="265">
          <cell r="A265" t="str">
            <v>M14040</v>
          </cell>
          <cell r="B265" t="str">
            <v>VEDAPREN BRANCO</v>
          </cell>
          <cell r="C265" t="str">
            <v>KG</v>
          </cell>
          <cell r="D265">
            <v>55.45</v>
          </cell>
        </row>
        <row r="266">
          <cell r="A266" t="str">
            <v>M14044</v>
          </cell>
          <cell r="B266" t="str">
            <v>FUNDO PREPARADOR</v>
          </cell>
          <cell r="C266" t="str">
            <v>L</v>
          </cell>
          <cell r="D266">
            <v>3.91</v>
          </cell>
        </row>
        <row r="267">
          <cell r="A267" t="str">
            <v>M14045</v>
          </cell>
          <cell r="B267" t="str">
            <v>LIXA</v>
          </cell>
          <cell r="C267" t="str">
            <v>UND</v>
          </cell>
          <cell r="D267">
            <v>0.24</v>
          </cell>
        </row>
        <row r="268">
          <cell r="A268" t="str">
            <v>M14046</v>
          </cell>
          <cell r="B268" t="str">
            <v>LIXA PARA FERRO</v>
          </cell>
          <cell r="C268" t="str">
            <v>UND</v>
          </cell>
          <cell r="D268">
            <v>1.08</v>
          </cell>
        </row>
        <row r="269">
          <cell r="A269" t="str">
            <v>M15001</v>
          </cell>
          <cell r="B269" t="str">
            <v>PARA RAIO</v>
          </cell>
          <cell r="C269" t="str">
            <v>UND</v>
          </cell>
          <cell r="D269">
            <v>250</v>
          </cell>
        </row>
        <row r="270">
          <cell r="A270" t="str">
            <v>M15003</v>
          </cell>
          <cell r="B270" t="str">
            <v>TAMPA METÁLICA EM CHAPA 1/4"X1,00X1,00</v>
          </cell>
          <cell r="C270" t="str">
            <v>UND</v>
          </cell>
          <cell r="D270">
            <v>65</v>
          </cell>
        </row>
        <row r="271">
          <cell r="A271" t="str">
            <v>M15005</v>
          </cell>
          <cell r="B271" t="str">
            <v>TELA DE PROTEÇÃO</v>
          </cell>
          <cell r="C271" t="str">
            <v>UND</v>
          </cell>
          <cell r="D271">
            <v>8.5</v>
          </cell>
        </row>
        <row r="272">
          <cell r="A272" t="str">
            <v>M15010</v>
          </cell>
          <cell r="B272" t="str">
            <v>TANQUE DE FIBRA DE VIDRO 1001</v>
          </cell>
          <cell r="C272" t="str">
            <v>UND</v>
          </cell>
          <cell r="D272">
            <v>95</v>
          </cell>
        </row>
        <row r="273">
          <cell r="A273" t="str">
            <v>M15014</v>
          </cell>
          <cell r="B273" t="str">
            <v>TUBO COM FLANGE L=0,25M  80MM</v>
          </cell>
          <cell r="C273" t="str">
            <v>UND</v>
          </cell>
          <cell r="D273">
            <v>54.3</v>
          </cell>
        </row>
        <row r="274">
          <cell r="A274" t="str">
            <v>M15090</v>
          </cell>
          <cell r="B274" t="str">
            <v>TUBO DE CONCRETO  CA-1 DN 600</v>
          </cell>
          <cell r="C274" t="str">
            <v>M</v>
          </cell>
          <cell r="D274">
            <v>64.37</v>
          </cell>
        </row>
        <row r="275">
          <cell r="A275" t="str">
            <v>M16001</v>
          </cell>
          <cell r="B275" t="str">
            <v>AÇO CA-50</v>
          </cell>
          <cell r="C275" t="str">
            <v>KG</v>
          </cell>
          <cell r="D275">
            <v>1.74</v>
          </cell>
        </row>
        <row r="276">
          <cell r="A276" t="str">
            <v>M16002</v>
          </cell>
          <cell r="B276" t="str">
            <v>ARAME FARPADO</v>
          </cell>
          <cell r="C276" t="str">
            <v>M</v>
          </cell>
          <cell r="D276">
            <v>0.12</v>
          </cell>
        </row>
        <row r="277">
          <cell r="A277" t="str">
            <v>M16003</v>
          </cell>
          <cell r="B277" t="str">
            <v>ARAME GALVANIZADO</v>
          </cell>
          <cell r="C277" t="str">
            <v>KG</v>
          </cell>
          <cell r="D277">
            <v>1.75</v>
          </cell>
        </row>
        <row r="278">
          <cell r="A278" t="str">
            <v>M16004</v>
          </cell>
          <cell r="B278" t="str">
            <v>ARAME RECOZIDO</v>
          </cell>
          <cell r="C278" t="str">
            <v>KG</v>
          </cell>
          <cell r="D278">
            <v>3.56</v>
          </cell>
        </row>
        <row r="279">
          <cell r="A279" t="str">
            <v>M16006</v>
          </cell>
          <cell r="B279" t="str">
            <v>PREGO 2 1/2X10</v>
          </cell>
          <cell r="C279" t="str">
            <v>KG</v>
          </cell>
          <cell r="D279">
            <v>2.4</v>
          </cell>
        </row>
        <row r="280">
          <cell r="A280" t="str">
            <v>M16007</v>
          </cell>
          <cell r="B280" t="str">
            <v>PARAFUSO 2 1/2X10</v>
          </cell>
          <cell r="C280" t="str">
            <v>UND</v>
          </cell>
          <cell r="D280">
            <v>0.25</v>
          </cell>
        </row>
        <row r="281">
          <cell r="A281" t="str">
            <v>M17004</v>
          </cell>
          <cell r="B281" t="str">
            <v>LAJE PRE-MOLDADA PISO</v>
          </cell>
          <cell r="C281" t="str">
            <v>M²</v>
          </cell>
          <cell r="D281">
            <v>11.5</v>
          </cell>
        </row>
        <row r="282">
          <cell r="A282" t="str">
            <v>M20003</v>
          </cell>
          <cell r="B282" t="str">
            <v>BLOCO CERÂMICO DE 6 FUROS</v>
          </cell>
          <cell r="C282" t="str">
            <v>M²</v>
          </cell>
          <cell r="D282">
            <v>0.14000000000000001</v>
          </cell>
        </row>
        <row r="283">
          <cell r="A283" t="str">
            <v>M20017</v>
          </cell>
          <cell r="B283" t="str">
            <v>TIJOLO MACIÇO</v>
          </cell>
          <cell r="C283" t="str">
            <v>UND</v>
          </cell>
          <cell r="D283">
            <v>7.0000000000000007E-2</v>
          </cell>
        </row>
        <row r="284">
          <cell r="A284" t="str">
            <v>M20020</v>
          </cell>
          <cell r="B284" t="str">
            <v>COMBOGO DE CIMENTO 25X50CM</v>
          </cell>
          <cell r="C284" t="str">
            <v>M²</v>
          </cell>
          <cell r="D284">
            <v>24.01</v>
          </cell>
        </row>
        <row r="285">
          <cell r="A285" t="str">
            <v>M40001</v>
          </cell>
          <cell r="B285" t="str">
            <v>TÁBUA AGRESTE</v>
          </cell>
          <cell r="C285" t="str">
            <v>M²</v>
          </cell>
          <cell r="D285">
            <v>7.3</v>
          </cell>
        </row>
        <row r="286">
          <cell r="A286" t="str">
            <v>M40002</v>
          </cell>
          <cell r="B286" t="str">
            <v>RIPÃO AGRESTE</v>
          </cell>
          <cell r="C286" t="str">
            <v>M</v>
          </cell>
          <cell r="D286">
            <v>0.6</v>
          </cell>
        </row>
        <row r="287">
          <cell r="A287" t="str">
            <v>M40003</v>
          </cell>
          <cell r="B287" t="str">
            <v>BARROTE AGRESTE</v>
          </cell>
          <cell r="C287" t="str">
            <v>M</v>
          </cell>
          <cell r="D287">
            <v>1.4</v>
          </cell>
        </row>
        <row r="288">
          <cell r="A288" t="str">
            <v>M40007</v>
          </cell>
          <cell r="B288" t="str">
            <v>MADEIRIT 12MM RESINADA</v>
          </cell>
          <cell r="C288" t="str">
            <v>M²</v>
          </cell>
          <cell r="D288">
            <v>7.35</v>
          </cell>
        </row>
        <row r="289">
          <cell r="A289" t="str">
            <v>M40010</v>
          </cell>
          <cell r="B289" t="str">
            <v>MADEIRIT 6MM RESINADO</v>
          </cell>
          <cell r="C289" t="str">
            <v>M²</v>
          </cell>
          <cell r="D289">
            <v>5.7</v>
          </cell>
        </row>
        <row r="290">
          <cell r="A290" t="str">
            <v>M40012</v>
          </cell>
          <cell r="B290" t="str">
            <v>ADUELA COM ALIZAR P/ PINT.</v>
          </cell>
          <cell r="C290" t="str">
            <v>M</v>
          </cell>
          <cell r="D290">
            <v>5.31</v>
          </cell>
        </row>
        <row r="291">
          <cell r="A291" t="str">
            <v>M40014</v>
          </cell>
          <cell r="B291" t="str">
            <v>CHAPUZ 10X2,5</v>
          </cell>
          <cell r="C291" t="str">
            <v>UND</v>
          </cell>
          <cell r="D291">
            <v>0.25</v>
          </cell>
        </row>
        <row r="292">
          <cell r="A292" t="str">
            <v>M40027</v>
          </cell>
          <cell r="B292" t="str">
            <v>PORTA DE MADEIRA P/ PINTURA 120X210 INCUSIVE FERRAGENS</v>
          </cell>
          <cell r="C292" t="str">
            <v>UND</v>
          </cell>
          <cell r="D292">
            <v>167.8</v>
          </cell>
        </row>
        <row r="293">
          <cell r="A293" t="str">
            <v>M40050</v>
          </cell>
          <cell r="B293" t="str">
            <v>RESERVATÓRIO ME FIBRA 10.000 L</v>
          </cell>
          <cell r="C293" t="str">
            <v>UND</v>
          </cell>
          <cell r="D293">
            <v>1150</v>
          </cell>
        </row>
        <row r="294">
          <cell r="A294" t="str">
            <v>M40091</v>
          </cell>
          <cell r="B294" t="str">
            <v>JUNTA DE MADEIRA 2X1CM</v>
          </cell>
          <cell r="C294" t="str">
            <v>M</v>
          </cell>
          <cell r="D294">
            <v>0.1</v>
          </cell>
        </row>
        <row r="295">
          <cell r="A295" t="str">
            <v>M40099</v>
          </cell>
          <cell r="B295" t="str">
            <v>MADEIRAMENTO / COBERTURA</v>
          </cell>
          <cell r="C295" t="str">
            <v>M³</v>
          </cell>
          <cell r="D295">
            <v>480</v>
          </cell>
        </row>
        <row r="296">
          <cell r="A296" t="str">
            <v>M40121</v>
          </cell>
          <cell r="B296" t="str">
            <v>TÁBUA AGRESTE 30X3</v>
          </cell>
          <cell r="C296" t="str">
            <v>M</v>
          </cell>
          <cell r="D296">
            <v>2.2000000000000002</v>
          </cell>
        </row>
        <row r="297">
          <cell r="A297" t="str">
            <v>M50032</v>
          </cell>
          <cell r="B297" t="str">
            <v>PORTÃO DE FERRO GALVANIZADO 2,5X1,8M INCL. PINTURA</v>
          </cell>
          <cell r="C297" t="str">
            <v>UND</v>
          </cell>
          <cell r="D297">
            <v>405</v>
          </cell>
        </row>
        <row r="298">
          <cell r="A298" t="str">
            <v>M60003</v>
          </cell>
          <cell r="B298" t="str">
            <v>TELHA DE FIBROCIMENTO 4MM</v>
          </cell>
          <cell r="C298" t="str">
            <v>M²</v>
          </cell>
          <cell r="D298">
            <v>3.69</v>
          </cell>
        </row>
        <row r="299">
          <cell r="A299" t="str">
            <v>M60007</v>
          </cell>
          <cell r="B299" t="str">
            <v>TELHA CERÂMICA TIPO COLONIAL</v>
          </cell>
          <cell r="C299" t="str">
            <v>UND</v>
          </cell>
          <cell r="D299">
            <v>0.19</v>
          </cell>
        </row>
        <row r="300">
          <cell r="A300" t="str">
            <v>M70001</v>
          </cell>
          <cell r="B300" t="str">
            <v>AREIA FINA</v>
          </cell>
          <cell r="C300" t="str">
            <v>M³</v>
          </cell>
          <cell r="D300">
            <v>13.5</v>
          </cell>
        </row>
        <row r="301">
          <cell r="A301" t="str">
            <v>M70002</v>
          </cell>
          <cell r="B301" t="str">
            <v>AREIA GROSSA</v>
          </cell>
          <cell r="C301" t="str">
            <v>M³</v>
          </cell>
          <cell r="D301">
            <v>13.5</v>
          </cell>
        </row>
        <row r="302">
          <cell r="A302" t="str">
            <v>M70003</v>
          </cell>
          <cell r="B302" t="str">
            <v>ARENOSO</v>
          </cell>
          <cell r="C302" t="str">
            <v>M³</v>
          </cell>
          <cell r="D302">
            <v>18</v>
          </cell>
        </row>
        <row r="303">
          <cell r="A303" t="str">
            <v>M70007</v>
          </cell>
          <cell r="B303" t="str">
            <v>BRITA 1</v>
          </cell>
          <cell r="C303" t="str">
            <v>M³</v>
          </cell>
          <cell r="D303">
            <v>42.9</v>
          </cell>
        </row>
        <row r="304">
          <cell r="A304" t="str">
            <v>M70008</v>
          </cell>
          <cell r="B304" t="str">
            <v>BRITA 2</v>
          </cell>
          <cell r="C304" t="str">
            <v>M³</v>
          </cell>
          <cell r="D304">
            <v>42.9</v>
          </cell>
        </row>
        <row r="305">
          <cell r="A305" t="str">
            <v>M70012</v>
          </cell>
          <cell r="B305" t="str">
            <v>PEDRA BRUTA</v>
          </cell>
          <cell r="C305" t="str">
            <v>M³</v>
          </cell>
          <cell r="D305">
            <v>40</v>
          </cell>
        </row>
        <row r="306">
          <cell r="A306" t="str">
            <v>M70014</v>
          </cell>
          <cell r="B306" t="str">
            <v>CIMENTO PORTLAND CP/320</v>
          </cell>
          <cell r="C306" t="str">
            <v>KG</v>
          </cell>
          <cell r="D306">
            <v>0.27</v>
          </cell>
        </row>
        <row r="307">
          <cell r="A307" t="str">
            <v>M70020</v>
          </cell>
          <cell r="B307" t="str">
            <v>TERRA VEGETAL</v>
          </cell>
          <cell r="C307" t="str">
            <v>M³</v>
          </cell>
          <cell r="D307">
            <v>15</v>
          </cell>
        </row>
        <row r="308">
          <cell r="A308" t="str">
            <v>M90054</v>
          </cell>
          <cell r="B308" t="str">
            <v>JUNTA DE PVC</v>
          </cell>
          <cell r="C308" t="str">
            <v>M</v>
          </cell>
          <cell r="D308">
            <v>1.5</v>
          </cell>
        </row>
        <row r="309">
          <cell r="A309" t="str">
            <v>M90055</v>
          </cell>
          <cell r="B309" t="str">
            <v>TAMPA DE INSPEÇÃO EM AÇO CARBONO 90X90</v>
          </cell>
          <cell r="C309" t="str">
            <v>UND</v>
          </cell>
          <cell r="D309">
            <v>52.65</v>
          </cell>
        </row>
        <row r="310">
          <cell r="A310" t="str">
            <v>M90100</v>
          </cell>
          <cell r="B310" t="str">
            <v>SEPARADOR DE FASES EM FIBRA DE VIDRO</v>
          </cell>
          <cell r="C310" t="str">
            <v>UND</v>
          </cell>
          <cell r="D310">
            <v>2000</v>
          </cell>
        </row>
        <row r="311">
          <cell r="A311" t="str">
            <v>O00001</v>
          </cell>
          <cell r="B311" t="str">
            <v>SERVENTE</v>
          </cell>
          <cell r="C311" t="str">
            <v>H</v>
          </cell>
          <cell r="D311">
            <v>1.3482000000000001</v>
          </cell>
        </row>
        <row r="312">
          <cell r="A312" t="str">
            <v>O00002</v>
          </cell>
          <cell r="B312" t="str">
            <v>PEDREIRO</v>
          </cell>
          <cell r="C312" t="str">
            <v>H</v>
          </cell>
          <cell r="D312">
            <v>4.3391999999999991</v>
          </cell>
        </row>
        <row r="313">
          <cell r="A313" t="str">
            <v>O00003</v>
          </cell>
          <cell r="B313" t="str">
            <v>CARPINTEIRO</v>
          </cell>
          <cell r="C313" t="str">
            <v>H</v>
          </cell>
          <cell r="D313">
            <v>4.3391999999999991</v>
          </cell>
        </row>
        <row r="314">
          <cell r="A314" t="str">
            <v>O00004</v>
          </cell>
          <cell r="B314" t="str">
            <v>ARMADOR</v>
          </cell>
          <cell r="C314" t="str">
            <v>H</v>
          </cell>
          <cell r="D314">
            <v>4.3391999999999991</v>
          </cell>
        </row>
        <row r="315">
          <cell r="A315" t="str">
            <v>O00005</v>
          </cell>
          <cell r="B315" t="str">
            <v>PINTOR</v>
          </cell>
          <cell r="C315" t="str">
            <v>H</v>
          </cell>
          <cell r="D315">
            <v>4.3391999999999991</v>
          </cell>
        </row>
        <row r="316">
          <cell r="A316" t="str">
            <v>O00008</v>
          </cell>
          <cell r="B316" t="str">
            <v>TELHADISTA</v>
          </cell>
          <cell r="C316" t="str">
            <v>H</v>
          </cell>
          <cell r="D316">
            <v>4.3391999999999991</v>
          </cell>
        </row>
        <row r="317">
          <cell r="A317" t="str">
            <v>O00010</v>
          </cell>
          <cell r="B317" t="str">
            <v>ENCANADOR</v>
          </cell>
          <cell r="C317" t="str">
            <v>H</v>
          </cell>
          <cell r="D317">
            <v>4.3391999999999993E-2</v>
          </cell>
        </row>
        <row r="318">
          <cell r="A318" t="str">
            <v>O00011</v>
          </cell>
          <cell r="B318" t="str">
            <v>ELETRICISTA</v>
          </cell>
          <cell r="C318" t="str">
            <v>H</v>
          </cell>
          <cell r="D318">
            <v>4.3391999999999991</v>
          </cell>
        </row>
        <row r="319">
          <cell r="A319" t="str">
            <v>O00012</v>
          </cell>
          <cell r="B319" t="str">
            <v>AJUDANTE</v>
          </cell>
          <cell r="C319" t="str">
            <v>H</v>
          </cell>
          <cell r="D319">
            <v>2.5989999999999998</v>
          </cell>
        </row>
        <row r="320">
          <cell r="A320" t="str">
            <v>O00013</v>
          </cell>
          <cell r="B320" t="str">
            <v>MECÂNICO MONTADOR</v>
          </cell>
          <cell r="C320" t="str">
            <v>H</v>
          </cell>
          <cell r="D320">
            <v>4.8364000000000003</v>
          </cell>
        </row>
        <row r="321">
          <cell r="A321" t="str">
            <v>O00015</v>
          </cell>
          <cell r="B321" t="str">
            <v>ELETRICISTA MONTADOR</v>
          </cell>
          <cell r="C321" t="str">
            <v>H</v>
          </cell>
          <cell r="D321">
            <v>4.8364000000000003</v>
          </cell>
        </row>
        <row r="322">
          <cell r="A322" t="str">
            <v>O00026</v>
          </cell>
          <cell r="B322" t="str">
            <v>MONTADOR DE ESTRUTURAS</v>
          </cell>
          <cell r="C322" t="str">
            <v>H</v>
          </cell>
          <cell r="D322">
            <v>4.8364000000000003</v>
          </cell>
        </row>
        <row r="323">
          <cell r="A323" t="str">
            <v>O00027</v>
          </cell>
          <cell r="B323" t="str">
            <v>CAVOUQUEIRO</v>
          </cell>
          <cell r="C323" t="str">
            <v>H</v>
          </cell>
          <cell r="D323">
            <v>12.43</v>
          </cell>
        </row>
        <row r="324">
          <cell r="A324" t="str">
            <v>S00001</v>
          </cell>
          <cell r="B324" t="str">
            <v>ESTAÇÃO DE TRATAMENTO DE ÁGUA - COMPACTA - ETA       DF</v>
          </cell>
          <cell r="C324" t="str">
            <v>UND</v>
          </cell>
          <cell r="D324">
            <v>35000</v>
          </cell>
        </row>
        <row r="325">
          <cell r="A325" t="str">
            <v>S00005</v>
          </cell>
          <cell r="B325" t="str">
            <v>PERFURAÇÃO E REVESTIMENTO DE POÇO COM TUBO DE 6"</v>
          </cell>
          <cell r="C325" t="str">
            <v>M</v>
          </cell>
          <cell r="D325">
            <v>110</v>
          </cell>
        </row>
        <row r="326">
          <cell r="A326" t="str">
            <v>S00011</v>
          </cell>
          <cell r="B326" t="str">
            <v>CADASTRO DO INTERCEPTOR/EMISSÁRIO , DESENHADO A NANQUIM EM PAPEL VEGETAL</v>
          </cell>
          <cell r="C326" t="str">
            <v>M</v>
          </cell>
          <cell r="D326">
            <v>0.85</v>
          </cell>
        </row>
        <row r="327">
          <cell r="A327" t="str">
            <v>S00012</v>
          </cell>
          <cell r="B327" t="str">
            <v>ACOMPANHAMENTO TOPOGRAFICO DA REDE</v>
          </cell>
          <cell r="C327" t="str">
            <v>M</v>
          </cell>
          <cell r="D327">
            <v>1.1399999999999999</v>
          </cell>
        </row>
        <row r="328">
          <cell r="A328" t="str">
            <v>S00013</v>
          </cell>
          <cell r="B328" t="str">
            <v>LOCAÇÃO DA OBRA</v>
          </cell>
          <cell r="C328" t="str">
            <v>M²</v>
          </cell>
          <cell r="D328">
            <v>0.14000000000000001</v>
          </cell>
        </row>
        <row r="329">
          <cell r="A329" t="str">
            <v>S00015</v>
          </cell>
          <cell r="B329" t="str">
            <v>LOCAÇÃO DE REDE</v>
          </cell>
          <cell r="C329" t="str">
            <v>M</v>
          </cell>
          <cell r="D329">
            <v>0.14000000000000001</v>
          </cell>
        </row>
        <row r="330">
          <cell r="A330" t="str">
            <v>S00030</v>
          </cell>
          <cell r="B330" t="str">
            <v>PLACA EM CHAPA DE FERROGALV. (OBRA)</v>
          </cell>
          <cell r="C330" t="str">
            <v>M²</v>
          </cell>
          <cell r="D330">
            <v>35</v>
          </cell>
        </row>
        <row r="331">
          <cell r="A331" t="str">
            <v>S00041</v>
          </cell>
          <cell r="B331" t="str">
            <v>PLANTIO DE GRAMA EM PLACA</v>
          </cell>
          <cell r="C331" t="str">
            <v>M²</v>
          </cell>
          <cell r="D331">
            <v>5.5</v>
          </cell>
        </row>
        <row r="332">
          <cell r="A332" t="str">
            <v>S00060</v>
          </cell>
          <cell r="B332" t="str">
            <v>CADASTRO DA ADUTORA , DESENHADO A NANQUIM EM PAPEL VEGETAL</v>
          </cell>
          <cell r="C332" t="str">
            <v>M</v>
          </cell>
          <cell r="D332">
            <v>0.85</v>
          </cell>
        </row>
        <row r="333">
          <cell r="A333" t="str">
            <v>S00500</v>
          </cell>
          <cell r="B333" t="str">
            <v>TRANSPORTE DE MÁQUINAS E EQUIPAMENTOS</v>
          </cell>
          <cell r="C333" t="str">
            <v>UND</v>
          </cell>
          <cell r="D333">
            <v>1500</v>
          </cell>
        </row>
        <row r="334">
          <cell r="A334" t="str">
            <v>S00560</v>
          </cell>
          <cell r="B334" t="str">
            <v>QUADRO DE COMANDO P/ CONJUNTO MOTO BOMBAS</v>
          </cell>
          <cell r="C334" t="str">
            <v>UND</v>
          </cell>
          <cell r="D334">
            <v>985</v>
          </cell>
        </row>
        <row r="335">
          <cell r="A335" t="str">
            <v>S00570</v>
          </cell>
          <cell r="B335" t="str">
            <v>ESGOTAMENTO DE VALAS COM CONJUNTO MOTO-BOMBA CAPACIDADE PARA 20.000 L/H</v>
          </cell>
          <cell r="C335" t="str">
            <v>H</v>
          </cell>
          <cell r="D335">
            <v>2.0588235294117649</v>
          </cell>
        </row>
        <row r="336">
          <cell r="A336" t="str">
            <v>S00600</v>
          </cell>
          <cell r="B336" t="str">
            <v>ESTUDOS GEODÉSICOS E HIDROGEOLÓGICOS</v>
          </cell>
          <cell r="C336" t="str">
            <v>UND</v>
          </cell>
          <cell r="D336">
            <v>1849.88</v>
          </cell>
        </row>
        <row r="337">
          <cell r="A337" t="str">
            <v>T00115</v>
          </cell>
          <cell r="B337" t="str">
            <v>CAMINHÃO BASCULANTE</v>
          </cell>
          <cell r="C337" t="str">
            <v>H</v>
          </cell>
          <cell r="D337">
            <v>25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SERV. PRELIMINARES E ARQ. (2)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"/>
      <sheetName val="MATER"/>
      <sheetName val="COTACAO"/>
      <sheetName val="RESUMO"/>
      <sheetName val="KAPA DE TODAS"/>
      <sheetName val="CRON0 04"/>
      <sheetName val="CRON0 05"/>
      <sheetName val="CRON0 06"/>
      <sheetName val="CRON0 07"/>
      <sheetName val="CRON0 08"/>
      <sheetName val="CRON0 09"/>
      <sheetName val="CRON0 10"/>
      <sheetName val="CRON0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SERV. PRELIMINARES E ARQ.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1:BD208"/>
  <sheetViews>
    <sheetView showZeros="0" tabSelected="1" view="pageBreakPreview" zoomScaleNormal="100" zoomScaleSheetLayoutView="100" workbookViewId="0">
      <selection activeCell="E198" sqref="E198"/>
    </sheetView>
  </sheetViews>
  <sheetFormatPr defaultColWidth="15.7109375" defaultRowHeight="12.75"/>
  <cols>
    <col min="1" max="1" width="8.5703125" style="1" customWidth="1"/>
    <col min="2" max="2" width="13.5703125" style="1" customWidth="1"/>
    <col min="3" max="3" width="69" style="44" customWidth="1"/>
    <col min="4" max="4" width="7.140625" style="3" bestFit="1" customWidth="1"/>
    <col min="5" max="5" width="16" style="12" customWidth="1"/>
    <col min="6" max="6" width="13.85546875" style="2" customWidth="1"/>
    <col min="7" max="7" width="19.85546875" style="2" customWidth="1"/>
    <col min="8" max="8" width="5.7109375" style="378" customWidth="1"/>
    <col min="9" max="9" width="15.7109375" style="26"/>
    <col min="10" max="10" width="18.28515625" style="26" customWidth="1"/>
    <col min="11" max="13" width="15.7109375" style="26"/>
    <col min="14" max="14" width="15.7109375" style="88"/>
    <col min="15" max="16384" width="15.7109375" style="26"/>
  </cols>
  <sheetData>
    <row r="1" spans="1:14" ht="25.5">
      <c r="A1" s="629" t="s">
        <v>812</v>
      </c>
      <c r="B1" s="630"/>
      <c r="C1" s="630"/>
      <c r="D1" s="630"/>
      <c r="E1" s="22"/>
      <c r="F1" s="5"/>
      <c r="G1" s="8"/>
      <c r="H1" s="377"/>
    </row>
    <row r="2" spans="1:14" ht="20.25">
      <c r="A2" s="631"/>
      <c r="B2" s="632"/>
      <c r="C2" s="632"/>
      <c r="D2" s="632"/>
      <c r="E2" s="280"/>
      <c r="F2" s="281">
        <f ca="1">NOW()</f>
        <v>43108.574844560186</v>
      </c>
      <c r="G2" s="9"/>
      <c r="H2" s="377"/>
    </row>
    <row r="3" spans="1:14" ht="15.75">
      <c r="A3" s="633"/>
      <c r="B3" s="634"/>
      <c r="C3" s="634"/>
      <c r="D3" s="634"/>
      <c r="E3" s="634"/>
      <c r="F3" s="6"/>
      <c r="G3" s="9"/>
      <c r="H3" s="377"/>
    </row>
    <row r="4" spans="1:14" ht="15.75">
      <c r="A4" s="27" t="s">
        <v>5</v>
      </c>
      <c r="B4" s="28"/>
      <c r="C4" s="29"/>
      <c r="D4" s="640" t="s">
        <v>7</v>
      </c>
      <c r="E4" s="640"/>
      <c r="F4" s="6"/>
      <c r="G4" s="9"/>
      <c r="H4" s="377"/>
    </row>
    <row r="5" spans="1:14" ht="20.25">
      <c r="A5" s="635" t="s">
        <v>385</v>
      </c>
      <c r="B5" s="636"/>
      <c r="C5" s="636"/>
      <c r="D5" s="637" t="s">
        <v>746</v>
      </c>
      <c r="E5" s="637"/>
      <c r="F5" s="6"/>
      <c r="G5" s="9"/>
      <c r="H5" s="377"/>
    </row>
    <row r="6" spans="1:14" ht="15.6" customHeight="1">
      <c r="A6" s="638" t="s">
        <v>6</v>
      </c>
      <c r="B6" s="639"/>
      <c r="C6" s="639"/>
      <c r="D6" s="640" t="s">
        <v>9</v>
      </c>
      <c r="E6" s="640"/>
      <c r="F6" s="6"/>
      <c r="G6" s="9"/>
      <c r="H6" s="377"/>
    </row>
    <row r="7" spans="1:14" ht="16.5" thickBot="1">
      <c r="A7" s="626" t="s">
        <v>384</v>
      </c>
      <c r="B7" s="627"/>
      <c r="C7" s="627"/>
      <c r="D7" s="628">
        <f>E197</f>
        <v>97.449999999999989</v>
      </c>
      <c r="E7" s="628"/>
      <c r="F7" s="7"/>
      <c r="G7" s="10"/>
      <c r="H7" s="377"/>
    </row>
    <row r="8" spans="1:14" s="31" customFormat="1" ht="16.5" customHeight="1" thickBot="1">
      <c r="A8" s="365" t="s">
        <v>29</v>
      </c>
      <c r="B8" s="366" t="s">
        <v>105</v>
      </c>
      <c r="C8" s="367" t="s">
        <v>3</v>
      </c>
      <c r="D8" s="488" t="s">
        <v>226</v>
      </c>
      <c r="E8" s="489" t="s">
        <v>168</v>
      </c>
      <c r="F8" s="488" t="s">
        <v>227</v>
      </c>
      <c r="G8" s="490" t="s">
        <v>228</v>
      </c>
      <c r="H8" s="378"/>
      <c r="K8" s="31" t="s">
        <v>16</v>
      </c>
      <c r="N8" s="89"/>
    </row>
    <row r="9" spans="1:14" s="31" customFormat="1" ht="18.75" thickBot="1">
      <c r="A9" s="368">
        <v>1</v>
      </c>
      <c r="B9" s="593" t="s">
        <v>745</v>
      </c>
      <c r="C9" s="369" t="s">
        <v>281</v>
      </c>
      <c r="D9" s="370"/>
      <c r="E9" s="371"/>
      <c r="F9" s="371"/>
      <c r="G9" s="372">
        <f>SUM(G10:G13)</f>
        <v>0</v>
      </c>
      <c r="H9" s="379" t="e">
        <f t="shared" ref="H9:H40" si="0">G9/$G$203</f>
        <v>#DIV/0!</v>
      </c>
      <c r="J9" s="24"/>
      <c r="N9" s="89"/>
    </row>
    <row r="10" spans="1:14" s="31" customFormat="1" ht="90">
      <c r="A10" s="316" t="s">
        <v>282</v>
      </c>
      <c r="B10" s="592">
        <v>73467</v>
      </c>
      <c r="C10" s="320" t="s">
        <v>680</v>
      </c>
      <c r="D10" s="314" t="s">
        <v>239</v>
      </c>
      <c r="E10" s="315">
        <v>16</v>
      </c>
      <c r="F10" s="608"/>
      <c r="G10" s="317">
        <f>E10*F10</f>
        <v>0</v>
      </c>
      <c r="H10" s="379" t="e">
        <f t="shared" si="0"/>
        <v>#DIV/0!</v>
      </c>
      <c r="N10" s="89"/>
    </row>
    <row r="11" spans="1:14" s="31" customFormat="1" ht="18">
      <c r="A11" s="316" t="s">
        <v>180</v>
      </c>
      <c r="B11" s="592">
        <v>41598</v>
      </c>
      <c r="C11" s="320" t="s">
        <v>685</v>
      </c>
      <c r="D11" s="314" t="s">
        <v>2</v>
      </c>
      <c r="E11" s="315">
        <v>1</v>
      </c>
      <c r="F11" s="608"/>
      <c r="G11" s="317">
        <f>E11*F11</f>
        <v>0</v>
      </c>
      <c r="H11" s="379" t="e">
        <f t="shared" si="0"/>
        <v>#DIV/0!</v>
      </c>
      <c r="N11" s="89"/>
    </row>
    <row r="12" spans="1:14" s="31" customFormat="1" ht="18">
      <c r="A12" s="316" t="s">
        <v>181</v>
      </c>
      <c r="B12" s="592">
        <v>88316</v>
      </c>
      <c r="C12" s="320" t="s">
        <v>240</v>
      </c>
      <c r="D12" s="314" t="s">
        <v>239</v>
      </c>
      <c r="E12" s="315">
        <f>E10*2</f>
        <v>32</v>
      </c>
      <c r="F12" s="608"/>
      <c r="G12" s="317">
        <f>E12*F12</f>
        <v>0</v>
      </c>
      <c r="H12" s="379" t="e">
        <f t="shared" si="0"/>
        <v>#DIV/0!</v>
      </c>
      <c r="N12" s="89"/>
    </row>
    <row r="13" spans="1:14" s="31" customFormat="1" ht="18.75" thickBot="1">
      <c r="A13" s="316" t="s">
        <v>684</v>
      </c>
      <c r="B13" s="592" t="s">
        <v>289</v>
      </c>
      <c r="C13" s="320" t="s">
        <v>290</v>
      </c>
      <c r="D13" s="314" t="s">
        <v>1</v>
      </c>
      <c r="E13" s="11">
        <v>7.48</v>
      </c>
      <c r="F13" s="608"/>
      <c r="G13" s="317">
        <f>E13*F13</f>
        <v>0</v>
      </c>
      <c r="H13" s="379" t="e">
        <f t="shared" si="0"/>
        <v>#DIV/0!</v>
      </c>
      <c r="N13" s="89"/>
    </row>
    <row r="14" spans="1:14" s="31" customFormat="1" ht="18.75" thickBot="1">
      <c r="A14" s="368">
        <v>2</v>
      </c>
      <c r="B14" s="593"/>
      <c r="C14" s="373" t="s">
        <v>19</v>
      </c>
      <c r="D14" s="370"/>
      <c r="E14" s="371"/>
      <c r="F14" s="609"/>
      <c r="G14" s="374">
        <f>SUM(G15:G18)</f>
        <v>0</v>
      </c>
      <c r="H14" s="379" t="e">
        <f t="shared" si="0"/>
        <v>#DIV/0!</v>
      </c>
      <c r="J14" s="287">
        <f>G203</f>
        <v>0</v>
      </c>
    </row>
    <row r="15" spans="1:14" s="31" customFormat="1" ht="36">
      <c r="A15" s="316" t="s">
        <v>20</v>
      </c>
      <c r="B15" s="592">
        <v>93565</v>
      </c>
      <c r="C15" s="349" t="s">
        <v>390</v>
      </c>
      <c r="D15" s="314" t="s">
        <v>21</v>
      </c>
      <c r="E15" s="315">
        <v>3</v>
      </c>
      <c r="F15" s="610"/>
      <c r="G15" s="350">
        <f>F15*E15</f>
        <v>0</v>
      </c>
      <c r="H15" s="379" t="e">
        <f t="shared" si="0"/>
        <v>#DIV/0!</v>
      </c>
      <c r="J15" s="287"/>
      <c r="N15" s="89"/>
    </row>
    <row r="16" spans="1:14" s="31" customFormat="1" ht="18">
      <c r="A16" s="316" t="s">
        <v>255</v>
      </c>
      <c r="B16" s="592" t="s">
        <v>750</v>
      </c>
      <c r="C16" s="349" t="s">
        <v>533</v>
      </c>
      <c r="D16" s="314" t="s">
        <v>21</v>
      </c>
      <c r="E16" s="315">
        <f>E15</f>
        <v>3</v>
      </c>
      <c r="F16" s="610"/>
      <c r="G16" s="350">
        <f>F16*E16</f>
        <v>0</v>
      </c>
      <c r="H16" s="379" t="e">
        <f t="shared" si="0"/>
        <v>#DIV/0!</v>
      </c>
      <c r="J16" s="287"/>
      <c r="N16" s="89"/>
    </row>
    <row r="17" spans="1:14" s="31" customFormat="1" ht="18">
      <c r="A17" s="316" t="s">
        <v>532</v>
      </c>
      <c r="B17" s="592" t="s">
        <v>687</v>
      </c>
      <c r="C17" s="349" t="s">
        <v>688</v>
      </c>
      <c r="D17" s="314" t="s">
        <v>21</v>
      </c>
      <c r="E17" s="315">
        <f>E15</f>
        <v>3</v>
      </c>
      <c r="F17" s="610"/>
      <c r="G17" s="350">
        <f>F17*E17</f>
        <v>0</v>
      </c>
      <c r="H17" s="379" t="e">
        <f t="shared" si="0"/>
        <v>#DIV/0!</v>
      </c>
      <c r="J17" s="287"/>
      <c r="N17" s="89"/>
    </row>
    <row r="18" spans="1:14" s="31" customFormat="1" ht="36.75" thickBot="1">
      <c r="A18" s="316" t="s">
        <v>686</v>
      </c>
      <c r="B18" s="592">
        <v>93572</v>
      </c>
      <c r="C18" s="34" t="s">
        <v>316</v>
      </c>
      <c r="D18" s="314" t="s">
        <v>21</v>
      </c>
      <c r="E18" s="11">
        <f>E15</f>
        <v>3</v>
      </c>
      <c r="F18" s="608"/>
      <c r="G18" s="350">
        <f>F18*E18</f>
        <v>0</v>
      </c>
      <c r="H18" s="379" t="e">
        <f t="shared" si="0"/>
        <v>#DIV/0!</v>
      </c>
      <c r="J18" s="287"/>
      <c r="N18" s="89"/>
    </row>
    <row r="19" spans="1:14" s="31" customFormat="1" ht="18.75" thickBot="1">
      <c r="A19" s="368">
        <v>3</v>
      </c>
      <c r="B19" s="594"/>
      <c r="C19" s="373" t="s">
        <v>179</v>
      </c>
      <c r="D19" s="370"/>
      <c r="E19" s="371"/>
      <c r="F19" s="609"/>
      <c r="G19" s="374">
        <f>SUM(G20:G44)</f>
        <v>0</v>
      </c>
      <c r="H19" s="379" t="e">
        <f t="shared" si="0"/>
        <v>#DIV/0!</v>
      </c>
      <c r="N19" s="89"/>
    </row>
    <row r="20" spans="1:14" s="31" customFormat="1" ht="18">
      <c r="A20" s="98" t="s">
        <v>169</v>
      </c>
      <c r="B20" s="595">
        <v>85418</v>
      </c>
      <c r="C20" s="320" t="s">
        <v>249</v>
      </c>
      <c r="D20" s="314" t="s">
        <v>17</v>
      </c>
      <c r="E20" s="315">
        <v>40</v>
      </c>
      <c r="F20" s="610"/>
      <c r="G20" s="35">
        <f>F20*E20</f>
        <v>0</v>
      </c>
      <c r="H20" s="379" t="e">
        <f t="shared" si="0"/>
        <v>#DIV/0!</v>
      </c>
      <c r="N20" s="89"/>
    </row>
    <row r="21" spans="1:14" s="31" customFormat="1" ht="18">
      <c r="A21" s="98" t="s">
        <v>284</v>
      </c>
      <c r="B21" s="595" t="s">
        <v>751</v>
      </c>
      <c r="C21" s="320" t="s">
        <v>251</v>
      </c>
      <c r="D21" s="314" t="s">
        <v>17</v>
      </c>
      <c r="E21" s="315">
        <f>3*E20</f>
        <v>120</v>
      </c>
      <c r="F21" s="610"/>
      <c r="G21" s="35">
        <f>F21*E21</f>
        <v>0</v>
      </c>
      <c r="H21" s="379" t="e">
        <f t="shared" si="0"/>
        <v>#DIV/0!</v>
      </c>
      <c r="N21" s="89"/>
    </row>
    <row r="22" spans="1:14" s="31" customFormat="1" ht="18">
      <c r="A22" s="98" t="s">
        <v>182</v>
      </c>
      <c r="B22" s="595" t="s">
        <v>752</v>
      </c>
      <c r="C22" s="320" t="s">
        <v>177</v>
      </c>
      <c r="D22" s="314" t="s">
        <v>1</v>
      </c>
      <c r="E22" s="315">
        <f>QUANTITATIVOS!F43</f>
        <v>29.100000000000009</v>
      </c>
      <c r="F22" s="610"/>
      <c r="G22" s="35">
        <f>F22*E22</f>
        <v>0</v>
      </c>
      <c r="H22" s="379" t="e">
        <f t="shared" si="0"/>
        <v>#DIV/0!</v>
      </c>
      <c r="N22" s="89"/>
    </row>
    <row r="23" spans="1:14" s="31" customFormat="1" ht="36">
      <c r="A23" s="98" t="s">
        <v>593</v>
      </c>
      <c r="B23" s="595" t="s">
        <v>753</v>
      </c>
      <c r="C23" s="320" t="s">
        <v>481</v>
      </c>
      <c r="D23" s="314" t="s">
        <v>2</v>
      </c>
      <c r="E23" s="315">
        <v>10</v>
      </c>
      <c r="F23" s="610"/>
      <c r="G23" s="35">
        <f>F23*E23</f>
        <v>0</v>
      </c>
      <c r="H23" s="379" t="e">
        <f t="shared" si="0"/>
        <v>#DIV/0!</v>
      </c>
      <c r="N23" s="89"/>
    </row>
    <row r="24" spans="1:14" s="31" customFormat="1" ht="18">
      <c r="A24" s="98" t="s">
        <v>183</v>
      </c>
      <c r="B24" s="595">
        <v>85333</v>
      </c>
      <c r="C24" s="320" t="s">
        <v>713</v>
      </c>
      <c r="D24" s="314" t="s">
        <v>2</v>
      </c>
      <c r="E24" s="315">
        <v>7</v>
      </c>
      <c r="F24" s="610"/>
      <c r="G24" s="35">
        <f>F24*E24</f>
        <v>0</v>
      </c>
      <c r="H24" s="379" t="e">
        <f t="shared" si="0"/>
        <v>#DIV/0!</v>
      </c>
      <c r="N24" s="89"/>
    </row>
    <row r="25" spans="1:14" s="31" customFormat="1" ht="18">
      <c r="A25" s="98" t="s">
        <v>482</v>
      </c>
      <c r="B25" s="595" t="s">
        <v>236</v>
      </c>
      <c r="C25" s="320" t="s">
        <v>252</v>
      </c>
      <c r="D25" s="314" t="s">
        <v>4</v>
      </c>
      <c r="E25" s="315">
        <f>QUANTITATIVOS!J40</f>
        <v>6.4830000000000005</v>
      </c>
      <c r="F25" s="610"/>
      <c r="G25" s="35">
        <f t="shared" ref="G25:G44" si="1">F25*E25</f>
        <v>0</v>
      </c>
      <c r="H25" s="379" t="e">
        <f t="shared" si="0"/>
        <v>#DIV/0!</v>
      </c>
      <c r="N25" s="89"/>
    </row>
    <row r="26" spans="1:14" s="31" customFormat="1" ht="36">
      <c r="A26" s="98" t="s">
        <v>484</v>
      </c>
      <c r="B26" s="596" t="s">
        <v>253</v>
      </c>
      <c r="C26" s="320" t="str">
        <f>UPPER("Demolição manual de piso em concreto simples e/ou cimentado")</f>
        <v>DEMOLIÇÃO MANUAL DE PISO EM CONCRETO SIMPLES E/OU CIMENTADO</v>
      </c>
      <c r="D26" s="314" t="s">
        <v>1</v>
      </c>
      <c r="E26" s="315">
        <f>3*1.5</f>
        <v>4.5</v>
      </c>
      <c r="F26" s="610"/>
      <c r="G26" s="35">
        <f t="shared" si="1"/>
        <v>0</v>
      </c>
      <c r="H26" s="379" t="e">
        <f t="shared" si="0"/>
        <v>#DIV/0!</v>
      </c>
      <c r="N26" s="89"/>
    </row>
    <row r="27" spans="1:14" s="31" customFormat="1" ht="18">
      <c r="A27" s="98" t="s">
        <v>485</v>
      </c>
      <c r="B27" s="595">
        <v>85416</v>
      </c>
      <c r="C27" s="320" t="s">
        <v>254</v>
      </c>
      <c r="D27" s="314" t="s">
        <v>2</v>
      </c>
      <c r="E27" s="315">
        <v>15</v>
      </c>
      <c r="F27" s="610"/>
      <c r="G27" s="35">
        <f t="shared" si="1"/>
        <v>0</v>
      </c>
      <c r="H27" s="379" t="e">
        <f t="shared" si="0"/>
        <v>#DIV/0!</v>
      </c>
      <c r="N27" s="89"/>
    </row>
    <row r="28" spans="1:14" s="31" customFormat="1" ht="36">
      <c r="A28" s="98" t="s">
        <v>486</v>
      </c>
      <c r="B28" s="595" t="s">
        <v>754</v>
      </c>
      <c r="C28" s="320" t="s">
        <v>178</v>
      </c>
      <c r="D28" s="344" t="s">
        <v>2</v>
      </c>
      <c r="E28" s="315">
        <v>10</v>
      </c>
      <c r="F28" s="610"/>
      <c r="G28" s="35">
        <f t="shared" si="1"/>
        <v>0</v>
      </c>
      <c r="H28" s="379" t="e">
        <f t="shared" si="0"/>
        <v>#DIV/0!</v>
      </c>
      <c r="N28" s="89"/>
    </row>
    <row r="29" spans="1:14" s="31" customFormat="1" ht="18">
      <c r="A29" s="98" t="s">
        <v>267</v>
      </c>
      <c r="B29" s="595">
        <v>85372</v>
      </c>
      <c r="C29" s="320" t="s">
        <v>266</v>
      </c>
      <c r="D29" s="314" t="s">
        <v>1</v>
      </c>
      <c r="E29" s="315">
        <f>QUANTITATIVOS!D31</f>
        <v>99.649999999999991</v>
      </c>
      <c r="F29" s="610"/>
      <c r="G29" s="35">
        <f t="shared" si="1"/>
        <v>0</v>
      </c>
      <c r="H29" s="379" t="e">
        <f t="shared" si="0"/>
        <v>#DIV/0!</v>
      </c>
      <c r="N29" s="89"/>
    </row>
    <row r="30" spans="1:14" s="31" customFormat="1" ht="18">
      <c r="A30" s="98" t="s">
        <v>487</v>
      </c>
      <c r="B30" s="595" t="s">
        <v>389</v>
      </c>
      <c r="C30" s="320" t="s">
        <v>388</v>
      </c>
      <c r="D30" s="314" t="s">
        <v>1</v>
      </c>
      <c r="E30" s="315">
        <f>E29</f>
        <v>99.649999999999991</v>
      </c>
      <c r="F30" s="610"/>
      <c r="G30" s="35">
        <f t="shared" si="1"/>
        <v>0</v>
      </c>
      <c r="H30" s="379" t="e">
        <f t="shared" si="0"/>
        <v>#DIV/0!</v>
      </c>
      <c r="N30" s="89"/>
    </row>
    <row r="31" spans="1:14" s="31" customFormat="1" ht="18">
      <c r="A31" s="98" t="s">
        <v>488</v>
      </c>
      <c r="B31" s="595">
        <v>85334</v>
      </c>
      <c r="C31" s="320" t="s">
        <v>386</v>
      </c>
      <c r="D31" s="314" t="s">
        <v>1</v>
      </c>
      <c r="E31" s="315">
        <f>9.31*2.1</f>
        <v>19.551000000000002</v>
      </c>
      <c r="F31" s="610"/>
      <c r="G31" s="35">
        <f t="shared" si="1"/>
        <v>0</v>
      </c>
      <c r="H31" s="379" t="e">
        <f t="shared" si="0"/>
        <v>#DIV/0!</v>
      </c>
      <c r="N31" s="89"/>
    </row>
    <row r="32" spans="1:14" s="31" customFormat="1" ht="18">
      <c r="A32" s="98" t="s">
        <v>184</v>
      </c>
      <c r="B32" s="595" t="s">
        <v>236</v>
      </c>
      <c r="C32" s="320" t="s">
        <v>483</v>
      </c>
      <c r="D32" s="314" t="s">
        <v>4</v>
      </c>
      <c r="E32" s="315">
        <f>9.31*0.24*0.5</f>
        <v>1.1172</v>
      </c>
      <c r="F32" s="610"/>
      <c r="G32" s="35">
        <f t="shared" si="1"/>
        <v>0</v>
      </c>
      <c r="H32" s="379" t="e">
        <f t="shared" si="0"/>
        <v>#DIV/0!</v>
      </c>
      <c r="N32" s="89"/>
    </row>
    <row r="33" spans="1:14" s="31" customFormat="1" ht="18">
      <c r="A33" s="98" t="s">
        <v>185</v>
      </c>
      <c r="B33" s="596" t="s">
        <v>796</v>
      </c>
      <c r="C33" s="320" t="s">
        <v>285</v>
      </c>
      <c r="D33" s="314" t="s">
        <v>1</v>
      </c>
      <c r="E33" s="315">
        <f>QUANTITATIVOS!L31</f>
        <v>6.2799999999999994</v>
      </c>
      <c r="F33" s="610"/>
      <c r="G33" s="35">
        <f t="shared" si="1"/>
        <v>0</v>
      </c>
      <c r="H33" s="379" t="e">
        <f t="shared" si="0"/>
        <v>#DIV/0!</v>
      </c>
      <c r="N33" s="89"/>
    </row>
    <row r="34" spans="1:14" s="31" customFormat="1" ht="18">
      <c r="A34" s="98" t="s">
        <v>489</v>
      </c>
      <c r="B34" s="596">
        <v>85362</v>
      </c>
      <c r="C34" s="320" t="s">
        <v>591</v>
      </c>
      <c r="D34" s="314" t="s">
        <v>1</v>
      </c>
      <c r="E34" s="315">
        <f>3*0.6*1.8</f>
        <v>3.2399999999999998</v>
      </c>
      <c r="F34" s="610"/>
      <c r="G34" s="35">
        <f t="shared" si="1"/>
        <v>0</v>
      </c>
      <c r="H34" s="379" t="e">
        <f t="shared" si="0"/>
        <v>#DIV/0!</v>
      </c>
      <c r="N34" s="89"/>
    </row>
    <row r="35" spans="1:14" s="31" customFormat="1" ht="18">
      <c r="A35" s="98" t="s">
        <v>594</v>
      </c>
      <c r="B35" s="596" t="s">
        <v>797</v>
      </c>
      <c r="C35" s="320" t="s">
        <v>592</v>
      </c>
      <c r="D35" s="314" t="s">
        <v>2</v>
      </c>
      <c r="E35" s="315">
        <v>3</v>
      </c>
      <c r="F35" s="610"/>
      <c r="G35" s="35">
        <f t="shared" si="1"/>
        <v>0</v>
      </c>
      <c r="H35" s="379" t="e">
        <f t="shared" si="0"/>
        <v>#DIV/0!</v>
      </c>
      <c r="N35" s="89"/>
    </row>
    <row r="36" spans="1:14" s="31" customFormat="1" ht="18">
      <c r="A36" s="98" t="s">
        <v>595</v>
      </c>
      <c r="B36" s="596" t="s">
        <v>490</v>
      </c>
      <c r="C36" s="320" t="s">
        <v>391</v>
      </c>
      <c r="D36" s="314" t="s">
        <v>2</v>
      </c>
      <c r="E36" s="315">
        <v>6</v>
      </c>
      <c r="F36" s="610"/>
      <c r="G36" s="35">
        <f t="shared" si="1"/>
        <v>0</v>
      </c>
      <c r="H36" s="379" t="e">
        <f t="shared" si="0"/>
        <v>#DIV/0!</v>
      </c>
      <c r="N36" s="89"/>
    </row>
    <row r="37" spans="1:14" s="31" customFormat="1" ht="18">
      <c r="A37" s="98" t="s">
        <v>596</v>
      </c>
      <c r="B37" s="596" t="s">
        <v>602</v>
      </c>
      <c r="C37" s="320" t="s">
        <v>238</v>
      </c>
      <c r="D37" s="314" t="s">
        <v>2</v>
      </c>
      <c r="E37" s="315">
        <v>1</v>
      </c>
      <c r="F37" s="610"/>
      <c r="G37" s="35">
        <f t="shared" si="1"/>
        <v>0</v>
      </c>
      <c r="H37" s="379" t="e">
        <f t="shared" si="0"/>
        <v>#DIV/0!</v>
      </c>
      <c r="N37" s="89"/>
    </row>
    <row r="38" spans="1:14" s="31" customFormat="1" ht="54">
      <c r="A38" s="98" t="s">
        <v>597</v>
      </c>
      <c r="B38" s="596" t="s">
        <v>286</v>
      </c>
      <c r="C38" s="320" t="str">
        <f>UPPER("Remoção, lavagem, e recolocação de telhas cerâmicas, tipo colonial, de olaria, com fixação através de arame de cobre nº12")</f>
        <v>REMOÇÃO, LAVAGEM, E RECOLOCAÇÃO DE TELHAS CERÂMICAS, TIPO COLONIAL, DE OLARIA, COM FIXAÇÃO ATRAVÉS DE ARAME DE COBRE Nº12</v>
      </c>
      <c r="D38" s="314" t="s">
        <v>1</v>
      </c>
      <c r="E38" s="315">
        <f>6.82*8</f>
        <v>54.56</v>
      </c>
      <c r="F38" s="610"/>
      <c r="G38" s="35">
        <f t="shared" si="1"/>
        <v>0</v>
      </c>
      <c r="H38" s="379" t="e">
        <f t="shared" si="0"/>
        <v>#DIV/0!</v>
      </c>
      <c r="N38" s="89"/>
    </row>
    <row r="39" spans="1:14" s="31" customFormat="1" ht="18">
      <c r="A39" s="98" t="s">
        <v>598</v>
      </c>
      <c r="B39" s="595">
        <v>85408</v>
      </c>
      <c r="C39" s="320" t="s">
        <v>287</v>
      </c>
      <c r="D39" s="314" t="s">
        <v>1</v>
      </c>
      <c r="E39" s="315">
        <f>10*0.4</f>
        <v>4</v>
      </c>
      <c r="F39" s="610"/>
      <c r="G39" s="35">
        <f t="shared" si="1"/>
        <v>0</v>
      </c>
      <c r="H39" s="379" t="e">
        <f t="shared" si="0"/>
        <v>#DIV/0!</v>
      </c>
      <c r="N39" s="89"/>
    </row>
    <row r="40" spans="1:14" s="31" customFormat="1" ht="18">
      <c r="A40" s="98" t="s">
        <v>599</v>
      </c>
      <c r="B40" s="595">
        <v>85421</v>
      </c>
      <c r="C40" s="320" t="s">
        <v>291</v>
      </c>
      <c r="D40" s="314" t="s">
        <v>1</v>
      </c>
      <c r="E40" s="315">
        <f>10*1*2</f>
        <v>20</v>
      </c>
      <c r="F40" s="610"/>
      <c r="G40" s="35">
        <f t="shared" si="1"/>
        <v>0</v>
      </c>
      <c r="H40" s="379" t="e">
        <f t="shared" si="0"/>
        <v>#DIV/0!</v>
      </c>
      <c r="N40" s="89"/>
    </row>
    <row r="41" spans="1:14" s="31" customFormat="1" ht="18">
      <c r="A41" s="98" t="s">
        <v>600</v>
      </c>
      <c r="B41" s="596" t="s">
        <v>309</v>
      </c>
      <c r="C41" s="320" t="s">
        <v>308</v>
      </c>
      <c r="D41" s="314" t="s">
        <v>1</v>
      </c>
      <c r="E41" s="315">
        <f>QUANTITATIVOS!K40</f>
        <v>44.1</v>
      </c>
      <c r="F41" s="610"/>
      <c r="G41" s="35">
        <f t="shared" si="1"/>
        <v>0</v>
      </c>
      <c r="H41" s="379" t="e">
        <f t="shared" ref="H41:H72" si="2">G41/$G$203</f>
        <v>#DIV/0!</v>
      </c>
      <c r="N41" s="89"/>
    </row>
    <row r="42" spans="1:14" s="31" customFormat="1" ht="18">
      <c r="A42" s="98" t="s">
        <v>601</v>
      </c>
      <c r="B42" s="595">
        <v>88036</v>
      </c>
      <c r="C42" s="320" t="s">
        <v>491</v>
      </c>
      <c r="D42" s="314" t="s">
        <v>4</v>
      </c>
      <c r="E42" s="315">
        <v>40</v>
      </c>
      <c r="F42" s="610"/>
      <c r="G42" s="35">
        <f t="shared" si="1"/>
        <v>0</v>
      </c>
      <c r="H42" s="379" t="e">
        <f t="shared" si="2"/>
        <v>#DIV/0!</v>
      </c>
      <c r="N42" s="89"/>
    </row>
    <row r="43" spans="1:14" s="31" customFormat="1" ht="18" customHeight="1">
      <c r="A43" s="98" t="s">
        <v>603</v>
      </c>
      <c r="B43" s="595">
        <v>72897</v>
      </c>
      <c r="C43" s="320" t="s">
        <v>163</v>
      </c>
      <c r="D43" s="314" t="s">
        <v>4</v>
      </c>
      <c r="E43" s="315">
        <f>E42</f>
        <v>40</v>
      </c>
      <c r="F43" s="610"/>
      <c r="G43" s="35">
        <f t="shared" si="1"/>
        <v>0</v>
      </c>
      <c r="H43" s="379" t="e">
        <f t="shared" si="2"/>
        <v>#DIV/0!</v>
      </c>
      <c r="N43" s="89"/>
    </row>
    <row r="44" spans="1:14" s="31" customFormat="1" ht="36.75" thickBot="1">
      <c r="A44" s="98" t="s">
        <v>714</v>
      </c>
      <c r="B44" s="595" t="s">
        <v>755</v>
      </c>
      <c r="C44" s="320" t="s">
        <v>387</v>
      </c>
      <c r="D44" s="331" t="s">
        <v>18</v>
      </c>
      <c r="E44" s="315">
        <f>E43*20</f>
        <v>800</v>
      </c>
      <c r="F44" s="610"/>
      <c r="G44" s="35">
        <f t="shared" si="1"/>
        <v>0</v>
      </c>
      <c r="H44" s="379" t="e">
        <f t="shared" si="2"/>
        <v>#DIV/0!</v>
      </c>
      <c r="N44" s="89"/>
    </row>
    <row r="45" spans="1:14" s="31" customFormat="1" ht="18.75" thickBot="1">
      <c r="A45" s="368">
        <v>4</v>
      </c>
      <c r="B45" s="594"/>
      <c r="C45" s="373" t="s">
        <v>229</v>
      </c>
      <c r="D45" s="370"/>
      <c r="E45" s="371"/>
      <c r="F45" s="611"/>
      <c r="G45" s="374">
        <f>SUM(G46:G50)</f>
        <v>0</v>
      </c>
      <c r="H45" s="379" t="e">
        <f t="shared" si="2"/>
        <v>#DIV/0!</v>
      </c>
      <c r="N45" s="89"/>
    </row>
    <row r="46" spans="1:14" s="31" customFormat="1" ht="36">
      <c r="A46" s="98" t="s">
        <v>492</v>
      </c>
      <c r="B46" s="333" t="s">
        <v>756</v>
      </c>
      <c r="C46" s="91" t="s">
        <v>494</v>
      </c>
      <c r="D46" s="4" t="s">
        <v>1</v>
      </c>
      <c r="E46" s="25">
        <f>QUANTITATIVOS!F83</f>
        <v>109.26</v>
      </c>
      <c r="F46" s="608"/>
      <c r="G46" s="35">
        <f>F46*E46</f>
        <v>0</v>
      </c>
      <c r="H46" s="379" t="e">
        <f t="shared" si="2"/>
        <v>#DIV/0!</v>
      </c>
      <c r="N46" s="89"/>
    </row>
    <row r="47" spans="1:14" s="31" customFormat="1" ht="36">
      <c r="A47" s="98" t="s">
        <v>493</v>
      </c>
      <c r="B47" s="333" t="s">
        <v>757</v>
      </c>
      <c r="C47" s="91" t="s">
        <v>174</v>
      </c>
      <c r="D47" s="4" t="s">
        <v>17</v>
      </c>
      <c r="E47" s="466">
        <v>7.5</v>
      </c>
      <c r="F47" s="608"/>
      <c r="G47" s="35">
        <f>F47*E47</f>
        <v>0</v>
      </c>
      <c r="H47" s="379" t="e">
        <f t="shared" si="2"/>
        <v>#DIV/0!</v>
      </c>
      <c r="N47" s="89"/>
    </row>
    <row r="48" spans="1:14" s="31" customFormat="1" ht="36">
      <c r="A48" s="98" t="s">
        <v>275</v>
      </c>
      <c r="B48" s="333" t="s">
        <v>758</v>
      </c>
      <c r="C48" s="91" t="s">
        <v>175</v>
      </c>
      <c r="D48" s="4" t="s">
        <v>17</v>
      </c>
      <c r="E48" s="467">
        <v>13.2</v>
      </c>
      <c r="F48" s="608"/>
      <c r="G48" s="35">
        <f>F48*E48</f>
        <v>0</v>
      </c>
      <c r="H48" s="379" t="e">
        <f t="shared" si="2"/>
        <v>#DIV/0!</v>
      </c>
      <c r="N48" s="89"/>
    </row>
    <row r="49" spans="1:14" s="31" customFormat="1" ht="36">
      <c r="A49" s="98" t="s">
        <v>662</v>
      </c>
      <c r="B49" s="333" t="s">
        <v>446</v>
      </c>
      <c r="C49" s="91" t="s">
        <v>447</v>
      </c>
      <c r="D49" s="4" t="s">
        <v>17</v>
      </c>
      <c r="E49" s="467">
        <v>7.5</v>
      </c>
      <c r="F49" s="608"/>
      <c r="G49" s="35">
        <f>F49*E49</f>
        <v>0</v>
      </c>
      <c r="H49" s="379" t="e">
        <f t="shared" si="2"/>
        <v>#DIV/0!</v>
      </c>
      <c r="N49" s="89"/>
    </row>
    <row r="50" spans="1:14" s="31" customFormat="1" ht="36.75" thickBot="1">
      <c r="A50" s="98" t="s">
        <v>663</v>
      </c>
      <c r="B50" s="333">
        <v>93200</v>
      </c>
      <c r="C50" s="91" t="s">
        <v>176</v>
      </c>
      <c r="D50" s="4" t="s">
        <v>17</v>
      </c>
      <c r="E50" s="11">
        <f>QUANTITATIVOS!F78</f>
        <v>29.42</v>
      </c>
      <c r="F50" s="608"/>
      <c r="G50" s="35">
        <f>F50*E50</f>
        <v>0</v>
      </c>
      <c r="H50" s="379" t="e">
        <f t="shared" si="2"/>
        <v>#DIV/0!</v>
      </c>
      <c r="N50" s="89"/>
    </row>
    <row r="51" spans="1:14" s="31" customFormat="1" ht="18.75" thickBot="1">
      <c r="A51" s="368">
        <v>5</v>
      </c>
      <c r="B51" s="594"/>
      <c r="C51" s="373" t="s">
        <v>40</v>
      </c>
      <c r="D51" s="370"/>
      <c r="E51" s="371"/>
      <c r="F51" s="612"/>
      <c r="G51" s="374">
        <f>SUM(G52:G61)</f>
        <v>0</v>
      </c>
      <c r="H51" s="379" t="e">
        <f t="shared" si="2"/>
        <v>#DIV/0!</v>
      </c>
      <c r="N51" s="89"/>
    </row>
    <row r="52" spans="1:14" s="31" customFormat="1" ht="72">
      <c r="A52" s="316" t="s">
        <v>186</v>
      </c>
      <c r="B52" s="597" t="s">
        <v>759</v>
      </c>
      <c r="C52" s="91" t="s">
        <v>682</v>
      </c>
      <c r="D52" s="4" t="s">
        <v>1</v>
      </c>
      <c r="E52" s="11">
        <f>E54+E55+0.15*E59</f>
        <v>44.8795</v>
      </c>
      <c r="F52" s="608"/>
      <c r="G52" s="13">
        <f t="shared" ref="G52:G61" si="3">F52*E52</f>
        <v>0</v>
      </c>
      <c r="H52" s="379" t="e">
        <f t="shared" si="2"/>
        <v>#DIV/0!</v>
      </c>
      <c r="N52" s="89"/>
    </row>
    <row r="53" spans="1:14" s="31" customFormat="1" ht="54">
      <c r="A53" s="316" t="s">
        <v>187</v>
      </c>
      <c r="B53" s="597" t="s">
        <v>760</v>
      </c>
      <c r="C53" s="91" t="s">
        <v>507</v>
      </c>
      <c r="D53" s="4" t="s">
        <v>1</v>
      </c>
      <c r="E53" s="11">
        <f>QUANTITATIVOS!D65-SERVIÇOS!E52</f>
        <v>52.570499999999988</v>
      </c>
      <c r="F53" s="608"/>
      <c r="G53" s="13">
        <f t="shared" si="3"/>
        <v>0</v>
      </c>
      <c r="H53" s="379" t="e">
        <f t="shared" si="2"/>
        <v>#DIV/0!</v>
      </c>
      <c r="N53" s="89"/>
    </row>
    <row r="54" spans="1:14" s="31" customFormat="1" ht="36" customHeight="1">
      <c r="A54" s="316" t="s">
        <v>188</v>
      </c>
      <c r="B54" s="597" t="s">
        <v>504</v>
      </c>
      <c r="C54" s="91" t="s">
        <v>505</v>
      </c>
      <c r="D54" s="4" t="s">
        <v>1</v>
      </c>
      <c r="E54" s="11">
        <f>16.43</f>
        <v>16.43</v>
      </c>
      <c r="F54" s="608"/>
      <c r="G54" s="13">
        <f t="shared" si="3"/>
        <v>0</v>
      </c>
      <c r="H54" s="379" t="e">
        <f t="shared" si="2"/>
        <v>#DIV/0!</v>
      </c>
      <c r="N54" s="89"/>
    </row>
    <row r="55" spans="1:14" s="31" customFormat="1" ht="36">
      <c r="A55" s="316" t="s">
        <v>189</v>
      </c>
      <c r="B55" s="597" t="s">
        <v>504</v>
      </c>
      <c r="C55" s="91" t="s">
        <v>506</v>
      </c>
      <c r="D55" s="4" t="s">
        <v>1</v>
      </c>
      <c r="E55" s="11">
        <f>27.65</f>
        <v>27.65</v>
      </c>
      <c r="F55" s="608"/>
      <c r="G55" s="13">
        <f t="shared" si="3"/>
        <v>0</v>
      </c>
      <c r="H55" s="379" t="e">
        <f t="shared" si="2"/>
        <v>#DIV/0!</v>
      </c>
      <c r="N55" s="89"/>
    </row>
    <row r="56" spans="1:14" s="31" customFormat="1" ht="36">
      <c r="A56" s="316" t="s">
        <v>190</v>
      </c>
      <c r="B56" s="597" t="s">
        <v>761</v>
      </c>
      <c r="C56" s="91" t="s">
        <v>798</v>
      </c>
      <c r="D56" s="4" t="s">
        <v>1</v>
      </c>
      <c r="E56" s="11">
        <f>E57</f>
        <v>52.570499999999988</v>
      </c>
      <c r="F56" s="608"/>
      <c r="G56" s="13">
        <f>F56*E56</f>
        <v>0</v>
      </c>
      <c r="H56" s="379" t="e">
        <f t="shared" si="2"/>
        <v>#DIV/0!</v>
      </c>
      <c r="N56" s="89"/>
    </row>
    <row r="57" spans="1:14" s="31" customFormat="1" ht="36">
      <c r="A57" s="316" t="s">
        <v>191</v>
      </c>
      <c r="B57" s="597">
        <v>87262</v>
      </c>
      <c r="C57" s="91" t="s">
        <v>510</v>
      </c>
      <c r="D57" s="4" t="s">
        <v>1</v>
      </c>
      <c r="E57" s="11">
        <f>E53</f>
        <v>52.570499999999988</v>
      </c>
      <c r="F57" s="608"/>
      <c r="G57" s="13">
        <f t="shared" si="3"/>
        <v>0</v>
      </c>
      <c r="H57" s="379" t="e">
        <f t="shared" si="2"/>
        <v>#DIV/0!</v>
      </c>
      <c r="N57" s="89"/>
    </row>
    <row r="58" spans="1:14" s="31" customFormat="1" ht="36" customHeight="1">
      <c r="A58" s="316" t="s">
        <v>192</v>
      </c>
      <c r="B58" s="597" t="s">
        <v>288</v>
      </c>
      <c r="C58" s="91" t="str">
        <f>UPPER("Rodapé em granito, h = 10 cm, e = 2,0 cm, aplicado com argamassa industrializada ac-i")</f>
        <v>RODAPÉ EM GRANITO, H = 10 CM, E = 2,0 CM, APLICADO COM ARGAMASSA INDUSTRIALIZADA AC-I</v>
      </c>
      <c r="D58" s="4" t="s">
        <v>17</v>
      </c>
      <c r="E58" s="11">
        <f>QUANTITATIVOS!G65-E59</f>
        <v>85.019899999999993</v>
      </c>
      <c r="F58" s="608"/>
      <c r="G58" s="13">
        <f t="shared" si="3"/>
        <v>0</v>
      </c>
      <c r="H58" s="379" t="e">
        <f t="shared" si="2"/>
        <v>#DIV/0!</v>
      </c>
      <c r="N58" s="89"/>
    </row>
    <row r="59" spans="1:14" s="31" customFormat="1" ht="18" customHeight="1">
      <c r="A59" s="316" t="s">
        <v>193</v>
      </c>
      <c r="B59" s="597" t="s">
        <v>504</v>
      </c>
      <c r="C59" s="91" t="s">
        <v>726</v>
      </c>
      <c r="D59" s="4" t="s">
        <v>1</v>
      </c>
      <c r="E59" s="11">
        <v>5.33</v>
      </c>
      <c r="F59" s="608"/>
      <c r="G59" s="13">
        <f t="shared" si="3"/>
        <v>0</v>
      </c>
      <c r="H59" s="379" t="e">
        <f t="shared" si="2"/>
        <v>#DIV/0!</v>
      </c>
      <c r="N59" s="89"/>
    </row>
    <row r="60" spans="1:14" s="31" customFormat="1" ht="36">
      <c r="A60" s="316" t="s">
        <v>194</v>
      </c>
      <c r="B60" s="597" t="s">
        <v>762</v>
      </c>
      <c r="C60" s="283" t="s">
        <v>509</v>
      </c>
      <c r="D60" s="4" t="s">
        <v>4</v>
      </c>
      <c r="E60" s="285">
        <f>QUANTITATIVOS!D90</f>
        <v>0.48599999999999999</v>
      </c>
      <c r="F60" s="613"/>
      <c r="G60" s="13">
        <f t="shared" si="3"/>
        <v>0</v>
      </c>
      <c r="H60" s="379" t="e">
        <f t="shared" si="2"/>
        <v>#DIV/0!</v>
      </c>
      <c r="N60" s="89"/>
    </row>
    <row r="61" spans="1:14" s="31" customFormat="1" ht="36" customHeight="1" thickBot="1">
      <c r="A61" s="316" t="s">
        <v>711</v>
      </c>
      <c r="B61" s="597">
        <v>72183</v>
      </c>
      <c r="C61" s="91" t="s">
        <v>508</v>
      </c>
      <c r="D61" s="4" t="s">
        <v>1</v>
      </c>
      <c r="E61" s="11">
        <f>QUANTITATIVOS!D91</f>
        <v>3.24</v>
      </c>
      <c r="F61" s="608"/>
      <c r="G61" s="13">
        <f t="shared" si="3"/>
        <v>0</v>
      </c>
      <c r="H61" s="379" t="e">
        <f t="shared" si="2"/>
        <v>#DIV/0!</v>
      </c>
      <c r="N61" s="89"/>
    </row>
    <row r="62" spans="1:14" s="31" customFormat="1" ht="18.75" thickBot="1">
      <c r="A62" s="368">
        <v>6</v>
      </c>
      <c r="B62" s="594"/>
      <c r="C62" s="373" t="s">
        <v>39</v>
      </c>
      <c r="D62" s="370"/>
      <c r="E62" s="371"/>
      <c r="F62" s="609"/>
      <c r="G62" s="374">
        <f>SUM(G63:G71)</f>
        <v>0</v>
      </c>
      <c r="H62" s="379" t="e">
        <f t="shared" si="2"/>
        <v>#DIV/0!</v>
      </c>
      <c r="N62" s="89"/>
    </row>
    <row r="63" spans="1:14" s="31" customFormat="1" ht="54">
      <c r="A63" s="316" t="s">
        <v>195</v>
      </c>
      <c r="B63" s="598" t="s">
        <v>763</v>
      </c>
      <c r="C63" s="91" t="s">
        <v>516</v>
      </c>
      <c r="D63" s="4" t="s">
        <v>1</v>
      </c>
      <c r="E63" s="11">
        <f>2*E46</f>
        <v>218.52</v>
      </c>
      <c r="F63" s="608"/>
      <c r="G63" s="13">
        <f t="shared" ref="G63:G71" si="4">F63*E63</f>
        <v>0</v>
      </c>
      <c r="H63" s="379" t="e">
        <f t="shared" si="2"/>
        <v>#DIV/0!</v>
      </c>
      <c r="N63" s="89"/>
    </row>
    <row r="64" spans="1:14" s="31" customFormat="1" ht="90">
      <c r="A64" s="316" t="s">
        <v>196</v>
      </c>
      <c r="B64" s="598" t="s">
        <v>764</v>
      </c>
      <c r="C64" s="321" t="s">
        <v>706</v>
      </c>
      <c r="D64" s="284" t="s">
        <v>1</v>
      </c>
      <c r="E64" s="285">
        <f>E63-E65</f>
        <v>194.98500000000001</v>
      </c>
      <c r="F64" s="613"/>
      <c r="G64" s="13">
        <f t="shared" si="4"/>
        <v>0</v>
      </c>
      <c r="H64" s="379" t="e">
        <f t="shared" si="2"/>
        <v>#DIV/0!</v>
      </c>
      <c r="N64" s="89"/>
    </row>
    <row r="65" spans="1:14" s="31" customFormat="1" ht="36">
      <c r="A65" s="316" t="s">
        <v>197</v>
      </c>
      <c r="B65" s="598" t="s">
        <v>765</v>
      </c>
      <c r="C65" s="321" t="s">
        <v>517</v>
      </c>
      <c r="D65" s="284" t="s">
        <v>1</v>
      </c>
      <c r="E65" s="285">
        <f>E67</f>
        <v>23.534999999999997</v>
      </c>
      <c r="F65" s="613"/>
      <c r="G65" s="13">
        <f t="shared" si="4"/>
        <v>0</v>
      </c>
      <c r="H65" s="379" t="e">
        <f t="shared" si="2"/>
        <v>#DIV/0!</v>
      </c>
      <c r="N65" s="89"/>
    </row>
    <row r="66" spans="1:14" s="31" customFormat="1" ht="36">
      <c r="A66" s="316" t="s">
        <v>198</v>
      </c>
      <c r="B66" s="597" t="s">
        <v>761</v>
      </c>
      <c r="C66" s="91" t="s">
        <v>715</v>
      </c>
      <c r="D66" s="284" t="s">
        <v>1</v>
      </c>
      <c r="E66" s="285">
        <f>E67</f>
        <v>23.534999999999997</v>
      </c>
      <c r="F66" s="608"/>
      <c r="G66" s="13">
        <f>F66*E66</f>
        <v>0</v>
      </c>
      <c r="H66" s="379" t="e">
        <f t="shared" si="2"/>
        <v>#DIV/0!</v>
      </c>
      <c r="N66" s="89"/>
    </row>
    <row r="67" spans="1:14" s="31" customFormat="1" ht="36">
      <c r="A67" s="316" t="s">
        <v>199</v>
      </c>
      <c r="B67" s="598" t="s">
        <v>799</v>
      </c>
      <c r="C67" s="321" t="s">
        <v>515</v>
      </c>
      <c r="D67" s="284" t="s">
        <v>1</v>
      </c>
      <c r="E67" s="285">
        <f>QUANTITATIVOS!L56</f>
        <v>23.534999999999997</v>
      </c>
      <c r="F67" s="613"/>
      <c r="G67" s="13">
        <f t="shared" si="4"/>
        <v>0</v>
      </c>
      <c r="H67" s="379" t="e">
        <f t="shared" si="2"/>
        <v>#DIV/0!</v>
      </c>
      <c r="N67" s="89"/>
    </row>
    <row r="68" spans="1:14" s="31" customFormat="1" ht="18" customHeight="1">
      <c r="A68" s="316" t="s">
        <v>342</v>
      </c>
      <c r="B68" s="598" t="s">
        <v>766</v>
      </c>
      <c r="C68" s="321" t="s">
        <v>526</v>
      </c>
      <c r="D68" s="284" t="s">
        <v>1</v>
      </c>
      <c r="E68" s="285">
        <f>0.1*76</f>
        <v>7.6000000000000005</v>
      </c>
      <c r="F68" s="613"/>
      <c r="G68" s="13">
        <f t="shared" si="4"/>
        <v>0</v>
      </c>
      <c r="H68" s="379" t="e">
        <f t="shared" si="2"/>
        <v>#DIV/0!</v>
      </c>
      <c r="N68" s="89"/>
    </row>
    <row r="69" spans="1:14" s="31" customFormat="1" ht="18">
      <c r="A69" s="316" t="s">
        <v>529</v>
      </c>
      <c r="B69" s="598" t="s">
        <v>767</v>
      </c>
      <c r="C69" s="321" t="s">
        <v>528</v>
      </c>
      <c r="D69" s="284" t="s">
        <v>17</v>
      </c>
      <c r="E69" s="285">
        <v>18.8</v>
      </c>
      <c r="F69" s="613"/>
      <c r="G69" s="13">
        <f t="shared" si="4"/>
        <v>0</v>
      </c>
      <c r="H69" s="379" t="e">
        <f t="shared" si="2"/>
        <v>#DIV/0!</v>
      </c>
      <c r="N69" s="89"/>
    </row>
    <row r="70" spans="1:14" s="31" customFormat="1" ht="18">
      <c r="A70" s="316" t="s">
        <v>530</v>
      </c>
      <c r="B70" s="598" t="s">
        <v>531</v>
      </c>
      <c r="C70" s="321" t="s">
        <v>527</v>
      </c>
      <c r="D70" s="284" t="s">
        <v>17</v>
      </c>
      <c r="E70" s="285">
        <v>3.1</v>
      </c>
      <c r="F70" s="613"/>
      <c r="G70" s="13">
        <f t="shared" si="4"/>
        <v>0</v>
      </c>
      <c r="H70" s="379" t="e">
        <f t="shared" si="2"/>
        <v>#DIV/0!</v>
      </c>
      <c r="N70" s="89"/>
    </row>
    <row r="71" spans="1:14" s="31" customFormat="1" ht="36" customHeight="1" thickBot="1">
      <c r="A71" s="316" t="s">
        <v>712</v>
      </c>
      <c r="B71" s="598" t="s">
        <v>161</v>
      </c>
      <c r="C71" s="283" t="str">
        <f>COMPOSIÇÕES!D25</f>
        <v>ISOLAMENTO ACUSTICO COM CHAPA DE GESSO ACARTONADO  12,5MM E PAINEL EM LÃ DE PET CONFORME ESPECIFICAÇÃO</v>
      </c>
      <c r="D71" s="284" t="s">
        <v>1</v>
      </c>
      <c r="E71" s="285">
        <v>101.35</v>
      </c>
      <c r="F71" s="613"/>
      <c r="G71" s="13">
        <f t="shared" si="4"/>
        <v>0</v>
      </c>
      <c r="H71" s="379" t="e">
        <f t="shared" si="2"/>
        <v>#DIV/0!</v>
      </c>
      <c r="N71" s="89"/>
    </row>
    <row r="72" spans="1:14" s="31" customFormat="1" ht="18.75" thickBot="1">
      <c r="A72" s="368">
        <v>7</v>
      </c>
      <c r="B72" s="594"/>
      <c r="C72" s="373" t="s">
        <v>230</v>
      </c>
      <c r="D72" s="370"/>
      <c r="E72" s="371"/>
      <c r="F72" s="611"/>
      <c r="G72" s="374">
        <f>SUM(G73:G78)</f>
        <v>0</v>
      </c>
      <c r="H72" s="379" t="e">
        <f t="shared" si="2"/>
        <v>#DIV/0!</v>
      </c>
      <c r="N72" s="89"/>
    </row>
    <row r="73" spans="1:14" s="31" customFormat="1" ht="36">
      <c r="A73" s="98" t="s">
        <v>200</v>
      </c>
      <c r="B73" s="597" t="s">
        <v>768</v>
      </c>
      <c r="C73" s="33" t="s">
        <v>681</v>
      </c>
      <c r="D73" s="4" t="s">
        <v>1</v>
      </c>
      <c r="E73" s="286">
        <f>QUANTITATIVOS!D56</f>
        <v>4.12</v>
      </c>
      <c r="F73" s="608"/>
      <c r="G73" s="13">
        <f t="shared" ref="G73:G78" si="5">F73*E73</f>
        <v>0</v>
      </c>
      <c r="H73" s="379" t="e">
        <f t="shared" ref="H73:H99" si="6">G73/$G$203</f>
        <v>#DIV/0!</v>
      </c>
      <c r="N73" s="89"/>
    </row>
    <row r="74" spans="1:14" s="31" customFormat="1" ht="36">
      <c r="A74" s="98" t="s">
        <v>201</v>
      </c>
      <c r="B74" s="598">
        <v>88484</v>
      </c>
      <c r="C74" s="319" t="s">
        <v>743</v>
      </c>
      <c r="D74" s="284" t="s">
        <v>1</v>
      </c>
      <c r="E74" s="322">
        <f>E73</f>
        <v>4.12</v>
      </c>
      <c r="F74" s="613"/>
      <c r="G74" s="13">
        <f t="shared" si="5"/>
        <v>0</v>
      </c>
      <c r="H74" s="379" t="e">
        <f t="shared" si="6"/>
        <v>#DIV/0!</v>
      </c>
      <c r="N74" s="89"/>
    </row>
    <row r="75" spans="1:14" s="31" customFormat="1" ht="36">
      <c r="A75" s="98" t="s">
        <v>276</v>
      </c>
      <c r="B75" s="598" t="s">
        <v>514</v>
      </c>
      <c r="C75" s="283" t="str">
        <f>UPPER("Emassamento de superfície, com aplicação de 02 demãos de massa acrílica, lixamento e retoques")</f>
        <v>EMASSAMENTO DE SUPERFÍCIE, COM APLICAÇÃO DE 02 DEMÃOS DE MASSA ACRÍLICA, LIXAMENTO E RETOQUES</v>
      </c>
      <c r="D75" s="284" t="s">
        <v>1</v>
      </c>
      <c r="E75" s="322">
        <f>E74</f>
        <v>4.12</v>
      </c>
      <c r="F75" s="614"/>
      <c r="G75" s="13">
        <f t="shared" si="5"/>
        <v>0</v>
      </c>
      <c r="H75" s="379" t="e">
        <f t="shared" si="6"/>
        <v>#DIV/0!</v>
      </c>
      <c r="N75" s="89"/>
    </row>
    <row r="76" spans="1:14" s="31" customFormat="1" ht="36">
      <c r="A76" s="98" t="s">
        <v>740</v>
      </c>
      <c r="B76" s="598" t="s">
        <v>769</v>
      </c>
      <c r="C76" s="319" t="s">
        <v>744</v>
      </c>
      <c r="D76" s="284" t="s">
        <v>1</v>
      </c>
      <c r="E76" s="322">
        <f>E74</f>
        <v>4.12</v>
      </c>
      <c r="F76" s="613"/>
      <c r="G76" s="13">
        <f t="shared" si="5"/>
        <v>0</v>
      </c>
      <c r="H76" s="379" t="e">
        <f t="shared" si="6"/>
        <v>#DIV/0!</v>
      </c>
      <c r="N76" s="89"/>
    </row>
    <row r="77" spans="1:14" s="31" customFormat="1" ht="18" customHeight="1">
      <c r="A77" s="98" t="s">
        <v>741</v>
      </c>
      <c r="B77" s="599" t="s">
        <v>161</v>
      </c>
      <c r="C77" s="283" t="s">
        <v>518</v>
      </c>
      <c r="D77" s="284" t="s">
        <v>1</v>
      </c>
      <c r="E77" s="322">
        <v>44.35</v>
      </c>
      <c r="F77" s="613"/>
      <c r="G77" s="13">
        <f t="shared" si="5"/>
        <v>0</v>
      </c>
      <c r="H77" s="379" t="e">
        <f t="shared" si="6"/>
        <v>#DIV/0!</v>
      </c>
      <c r="N77" s="89"/>
    </row>
    <row r="78" spans="1:14" s="31" customFormat="1" ht="36.75" thickBot="1">
      <c r="A78" s="98" t="s">
        <v>742</v>
      </c>
      <c r="B78" s="599" t="s">
        <v>739</v>
      </c>
      <c r="C78" s="283" t="s">
        <v>738</v>
      </c>
      <c r="D78" s="284" t="s">
        <v>1</v>
      </c>
      <c r="E78" s="322">
        <f>QUANTITATIVOS!M65-SERVIÇOS!E77-E73</f>
        <v>48.97999999999999</v>
      </c>
      <c r="F78" s="613"/>
      <c r="G78" s="13">
        <f t="shared" si="5"/>
        <v>0</v>
      </c>
      <c r="H78" s="379" t="e">
        <f t="shared" si="6"/>
        <v>#DIV/0!</v>
      </c>
      <c r="N78" s="89"/>
    </row>
    <row r="79" spans="1:14" s="31" customFormat="1" ht="18.75" thickBot="1">
      <c r="A79" s="368">
        <v>8</v>
      </c>
      <c r="B79" s="594"/>
      <c r="C79" s="373" t="s">
        <v>699</v>
      </c>
      <c r="D79" s="370"/>
      <c r="E79" s="371"/>
      <c r="F79" s="611"/>
      <c r="G79" s="374">
        <f>SUM(G80:G84)</f>
        <v>0</v>
      </c>
      <c r="H79" s="379" t="e">
        <f t="shared" si="6"/>
        <v>#DIV/0!</v>
      </c>
      <c r="N79" s="89"/>
    </row>
    <row r="80" spans="1:14" s="31" customFormat="1" ht="36" customHeight="1">
      <c r="A80" s="98" t="s">
        <v>202</v>
      </c>
      <c r="B80" s="598" t="s">
        <v>770</v>
      </c>
      <c r="C80" s="319" t="s">
        <v>511</v>
      </c>
      <c r="D80" s="284" t="s">
        <v>1</v>
      </c>
      <c r="E80" s="322">
        <f>QUANTITATIVOS!I65</f>
        <v>61.899999999999991</v>
      </c>
      <c r="F80" s="613"/>
      <c r="G80" s="318">
        <f>F80*E80</f>
        <v>0</v>
      </c>
      <c r="H80" s="379" t="e">
        <f t="shared" si="6"/>
        <v>#DIV/0!</v>
      </c>
      <c r="N80" s="89"/>
    </row>
    <row r="81" spans="1:14" s="31" customFormat="1" ht="36">
      <c r="A81" s="98" t="s">
        <v>345</v>
      </c>
      <c r="B81" s="598" t="s">
        <v>771</v>
      </c>
      <c r="C81" s="319" t="s">
        <v>512</v>
      </c>
      <c r="D81" s="284" t="s">
        <v>1</v>
      </c>
      <c r="E81" s="322">
        <f>QUANTITATIVOS!J65</f>
        <v>197.51719499999996</v>
      </c>
      <c r="F81" s="613"/>
      <c r="G81" s="318">
        <f>F81*E81</f>
        <v>0</v>
      </c>
      <c r="H81" s="379" t="e">
        <f t="shared" si="6"/>
        <v>#DIV/0!</v>
      </c>
      <c r="N81" s="89"/>
    </row>
    <row r="82" spans="1:14" s="31" customFormat="1" ht="36">
      <c r="A82" s="98" t="s">
        <v>231</v>
      </c>
      <c r="B82" s="598" t="s">
        <v>514</v>
      </c>
      <c r="C82" s="283" t="str">
        <f>UPPER("Emassamento de superfície, com aplicação de 02 demãos de massa acrílica, lixamento e retoques")</f>
        <v>EMASSAMENTO DE SUPERFÍCIE, COM APLICAÇÃO DE 02 DEMÃOS DE MASSA ACRÍLICA, LIXAMENTO E RETOQUES</v>
      </c>
      <c r="D82" s="284" t="s">
        <v>1</v>
      </c>
      <c r="E82" s="322">
        <f>E81</f>
        <v>197.51719499999996</v>
      </c>
      <c r="F82" s="614"/>
      <c r="G82" s="318">
        <f>F82*E82</f>
        <v>0</v>
      </c>
      <c r="H82" s="379" t="e">
        <f t="shared" si="6"/>
        <v>#DIV/0!</v>
      </c>
      <c r="N82" s="89"/>
    </row>
    <row r="83" spans="1:14" s="31" customFormat="1" ht="36">
      <c r="A83" s="98" t="s">
        <v>232</v>
      </c>
      <c r="B83" s="598" t="s">
        <v>772</v>
      </c>
      <c r="C83" s="319" t="s">
        <v>513</v>
      </c>
      <c r="D83" s="284" t="s">
        <v>1</v>
      </c>
      <c r="E83" s="322">
        <f>E81</f>
        <v>197.51719499999996</v>
      </c>
      <c r="F83" s="613"/>
      <c r="G83" s="318">
        <f>F83*E83</f>
        <v>0</v>
      </c>
      <c r="H83" s="379" t="e">
        <f t="shared" si="6"/>
        <v>#DIV/0!</v>
      </c>
      <c r="N83" s="89"/>
    </row>
    <row r="84" spans="1:14" s="31" customFormat="1" ht="54.75" thickBot="1">
      <c r="A84" s="98" t="s">
        <v>555</v>
      </c>
      <c r="B84" s="597" t="s">
        <v>283</v>
      </c>
      <c r="C84" s="92" t="s">
        <v>556</v>
      </c>
      <c r="D84" s="4" t="s">
        <v>1</v>
      </c>
      <c r="E84" s="286">
        <f>(E93*1.5*2.2+E103*1*1.9+E104*0.7*1.2)*2</f>
        <v>23.48</v>
      </c>
      <c r="F84" s="608"/>
      <c r="G84" s="13">
        <f>F84*E84</f>
        <v>0</v>
      </c>
      <c r="H84" s="379" t="e">
        <f t="shared" si="6"/>
        <v>#DIV/0!</v>
      </c>
      <c r="N84" s="89"/>
    </row>
    <row r="85" spans="1:14" s="31" customFormat="1" ht="18.75" thickBot="1">
      <c r="A85" s="368">
        <v>9</v>
      </c>
      <c r="B85" s="594"/>
      <c r="C85" s="373" t="s">
        <v>14</v>
      </c>
      <c r="D85" s="370"/>
      <c r="E85" s="371"/>
      <c r="F85" s="611"/>
      <c r="G85" s="374">
        <f>SUM(G86:G105)</f>
        <v>0</v>
      </c>
      <c r="H85" s="379" t="e">
        <f t="shared" si="6"/>
        <v>#DIV/0!</v>
      </c>
      <c r="J85" s="352"/>
      <c r="N85" s="89"/>
    </row>
    <row r="86" spans="1:14" s="31" customFormat="1" ht="18" customHeight="1">
      <c r="A86" s="98"/>
      <c r="B86" s="598"/>
      <c r="C86" s="487" t="s">
        <v>534</v>
      </c>
      <c r="D86" s="344"/>
      <c r="E86" s="286"/>
      <c r="F86" s="608"/>
      <c r="G86" s="13">
        <f>F86*E86</f>
        <v>0</v>
      </c>
      <c r="H86" s="379" t="e">
        <f t="shared" si="6"/>
        <v>#DIV/0!</v>
      </c>
      <c r="I86" s="86"/>
      <c r="N86" s="89"/>
    </row>
    <row r="87" spans="1:14" s="31" customFormat="1" ht="18" customHeight="1">
      <c r="A87" s="98" t="s">
        <v>295</v>
      </c>
      <c r="B87" s="598" t="s">
        <v>800</v>
      </c>
      <c r="C87" s="33" t="s">
        <v>535</v>
      </c>
      <c r="D87" s="344" t="s">
        <v>2</v>
      </c>
      <c r="E87" s="286">
        <v>1</v>
      </c>
      <c r="F87" s="608"/>
      <c r="G87" s="13">
        <f>F87*E87</f>
        <v>0</v>
      </c>
      <c r="H87" s="379" t="e">
        <f t="shared" si="6"/>
        <v>#DIV/0!</v>
      </c>
      <c r="I87" s="86"/>
      <c r="N87" s="89"/>
    </row>
    <row r="88" spans="1:14" s="31" customFormat="1" ht="18" customHeight="1">
      <c r="A88" s="98" t="s">
        <v>296</v>
      </c>
      <c r="B88" s="598" t="s">
        <v>800</v>
      </c>
      <c r="C88" s="33" t="s">
        <v>536</v>
      </c>
      <c r="D88" s="344" t="s">
        <v>2</v>
      </c>
      <c r="E88" s="286">
        <v>2</v>
      </c>
      <c r="F88" s="608"/>
      <c r="G88" s="13">
        <f t="shared" ref="G88:G104" si="7">F88*E88</f>
        <v>0</v>
      </c>
      <c r="H88" s="379" t="e">
        <f t="shared" si="6"/>
        <v>#DIV/0!</v>
      </c>
      <c r="I88" s="86"/>
      <c r="N88" s="89"/>
    </row>
    <row r="89" spans="1:14" s="31" customFormat="1" ht="18" customHeight="1">
      <c r="A89" s="98" t="s">
        <v>279</v>
      </c>
      <c r="B89" s="597" t="s">
        <v>257</v>
      </c>
      <c r="C89" s="33" t="s">
        <v>280</v>
      </c>
      <c r="D89" s="344" t="s">
        <v>2</v>
      </c>
      <c r="E89" s="286">
        <v>3</v>
      </c>
      <c r="F89" s="608"/>
      <c r="G89" s="13">
        <f t="shared" si="7"/>
        <v>0</v>
      </c>
      <c r="H89" s="379" t="e">
        <f t="shared" si="6"/>
        <v>#DIV/0!</v>
      </c>
      <c r="I89" s="86"/>
      <c r="N89" s="89"/>
    </row>
    <row r="90" spans="1:14" s="31" customFormat="1" ht="36" customHeight="1">
      <c r="A90" s="98" t="s">
        <v>346</v>
      </c>
      <c r="B90" s="597" t="s">
        <v>543</v>
      </c>
      <c r="C90" s="33" t="s">
        <v>537</v>
      </c>
      <c r="D90" s="344" t="s">
        <v>2</v>
      </c>
      <c r="E90" s="286">
        <v>1</v>
      </c>
      <c r="F90" s="608"/>
      <c r="G90" s="13">
        <f t="shared" si="7"/>
        <v>0</v>
      </c>
      <c r="H90" s="379" t="e">
        <f t="shared" si="6"/>
        <v>#DIV/0!</v>
      </c>
      <c r="I90" s="86"/>
      <c r="N90" s="89"/>
    </row>
    <row r="91" spans="1:14" s="31" customFormat="1" ht="18" customHeight="1">
      <c r="A91" s="98" t="s">
        <v>297</v>
      </c>
      <c r="B91" s="597" t="s">
        <v>553</v>
      </c>
      <c r="C91" s="33" t="s">
        <v>538</v>
      </c>
      <c r="D91" s="344" t="s">
        <v>2</v>
      </c>
      <c r="E91" s="286">
        <v>1</v>
      </c>
      <c r="F91" s="608"/>
      <c r="G91" s="13">
        <f t="shared" si="7"/>
        <v>0</v>
      </c>
      <c r="H91" s="379" t="e">
        <f t="shared" si="6"/>
        <v>#DIV/0!</v>
      </c>
      <c r="I91" s="86"/>
      <c r="N91" s="89"/>
    </row>
    <row r="92" spans="1:14" s="31" customFormat="1" ht="36" customHeight="1">
      <c r="A92" s="98" t="s">
        <v>298</v>
      </c>
      <c r="B92" s="597">
        <v>91341</v>
      </c>
      <c r="C92" s="92" t="s">
        <v>539</v>
      </c>
      <c r="D92" s="344" t="s">
        <v>2</v>
      </c>
      <c r="E92" s="468">
        <f>E91</f>
        <v>1</v>
      </c>
      <c r="F92" s="608"/>
      <c r="G92" s="13">
        <f t="shared" si="7"/>
        <v>0</v>
      </c>
      <c r="H92" s="379" t="e">
        <f t="shared" si="6"/>
        <v>#DIV/0!</v>
      </c>
      <c r="I92" s="86"/>
      <c r="N92" s="89"/>
    </row>
    <row r="93" spans="1:14" s="31" customFormat="1" ht="36" customHeight="1">
      <c r="A93" s="98" t="s">
        <v>299</v>
      </c>
      <c r="B93" s="597" t="s">
        <v>554</v>
      </c>
      <c r="C93" s="33" t="s">
        <v>540</v>
      </c>
      <c r="D93" s="344" t="s">
        <v>2</v>
      </c>
      <c r="E93" s="468">
        <f>E91</f>
        <v>1</v>
      </c>
      <c r="F93" s="608"/>
      <c r="G93" s="13">
        <f t="shared" si="7"/>
        <v>0</v>
      </c>
      <c r="H93" s="379" t="e">
        <f t="shared" si="6"/>
        <v>#DIV/0!</v>
      </c>
      <c r="I93" s="86"/>
      <c r="N93" s="89"/>
    </row>
    <row r="94" spans="1:14" s="31" customFormat="1" ht="18" customHeight="1">
      <c r="A94" s="98" t="s">
        <v>300</v>
      </c>
      <c r="B94" s="597" t="s">
        <v>553</v>
      </c>
      <c r="C94" s="33" t="s">
        <v>552</v>
      </c>
      <c r="D94" s="344" t="s">
        <v>2</v>
      </c>
      <c r="E94" s="468">
        <v>1</v>
      </c>
      <c r="F94" s="608"/>
      <c r="G94" s="13">
        <f t="shared" si="7"/>
        <v>0</v>
      </c>
      <c r="H94" s="379" t="e">
        <f t="shared" si="6"/>
        <v>#DIV/0!</v>
      </c>
      <c r="I94" s="86"/>
      <c r="N94" s="89"/>
    </row>
    <row r="95" spans="1:14" s="31" customFormat="1" ht="36" customHeight="1">
      <c r="A95" s="98" t="s">
        <v>301</v>
      </c>
      <c r="B95" s="597" t="s">
        <v>801</v>
      </c>
      <c r="C95" s="33" t="s">
        <v>541</v>
      </c>
      <c r="D95" s="344" t="s">
        <v>2</v>
      </c>
      <c r="E95" s="468">
        <v>2</v>
      </c>
      <c r="F95" s="608"/>
      <c r="G95" s="13">
        <f t="shared" si="7"/>
        <v>0</v>
      </c>
      <c r="H95" s="379" t="e">
        <f t="shared" si="6"/>
        <v>#DIV/0!</v>
      </c>
      <c r="I95" s="86"/>
      <c r="N95" s="89"/>
    </row>
    <row r="96" spans="1:14" s="31" customFormat="1" ht="18" customHeight="1">
      <c r="A96" s="98"/>
      <c r="B96" s="597"/>
      <c r="C96" s="487" t="s">
        <v>542</v>
      </c>
      <c r="D96" s="344"/>
      <c r="E96" s="468"/>
      <c r="F96" s="608"/>
      <c r="G96" s="13">
        <f t="shared" si="7"/>
        <v>0</v>
      </c>
      <c r="H96" s="379" t="e">
        <f t="shared" si="6"/>
        <v>#DIV/0!</v>
      </c>
      <c r="I96" s="86"/>
      <c r="N96" s="89"/>
    </row>
    <row r="97" spans="1:14" s="31" customFormat="1" ht="36" customHeight="1">
      <c r="A97" s="98" t="s">
        <v>302</v>
      </c>
      <c r="B97" s="600" t="s">
        <v>773</v>
      </c>
      <c r="C97" s="92" t="s">
        <v>544</v>
      </c>
      <c r="D97" s="344" t="s">
        <v>2</v>
      </c>
      <c r="E97" s="468">
        <v>4</v>
      </c>
      <c r="F97" s="608"/>
      <c r="G97" s="13">
        <f t="shared" si="7"/>
        <v>0</v>
      </c>
      <c r="H97" s="379" t="e">
        <f t="shared" si="6"/>
        <v>#DIV/0!</v>
      </c>
      <c r="I97" s="86"/>
      <c r="N97" s="89"/>
    </row>
    <row r="98" spans="1:14" s="31" customFormat="1" ht="36">
      <c r="A98" s="98" t="s">
        <v>303</v>
      </c>
      <c r="B98" s="600" t="s">
        <v>773</v>
      </c>
      <c r="C98" s="92" t="s">
        <v>545</v>
      </c>
      <c r="D98" s="344" t="s">
        <v>2</v>
      </c>
      <c r="E98" s="286">
        <v>1</v>
      </c>
      <c r="F98" s="608"/>
      <c r="G98" s="13">
        <f t="shared" si="7"/>
        <v>0</v>
      </c>
      <c r="H98" s="379" t="e">
        <f t="shared" si="6"/>
        <v>#DIV/0!</v>
      </c>
      <c r="I98" s="86"/>
      <c r="N98" s="89"/>
    </row>
    <row r="99" spans="1:14" s="31" customFormat="1" ht="36" customHeight="1">
      <c r="A99" s="98" t="s">
        <v>304</v>
      </c>
      <c r="B99" s="600">
        <v>72118</v>
      </c>
      <c r="C99" s="92" t="s">
        <v>264</v>
      </c>
      <c r="D99" s="344" t="s">
        <v>1</v>
      </c>
      <c r="E99" s="286">
        <f>E97*1*1.7+E98*1*0.5</f>
        <v>7.3</v>
      </c>
      <c r="F99" s="608"/>
      <c r="G99" s="13">
        <f t="shared" si="7"/>
        <v>0</v>
      </c>
      <c r="H99" s="379" t="e">
        <f t="shared" si="6"/>
        <v>#DIV/0!</v>
      </c>
      <c r="I99" s="86"/>
      <c r="N99" s="89"/>
    </row>
    <row r="100" spans="1:14" s="31" customFormat="1" ht="18" customHeight="1">
      <c r="A100" s="98"/>
      <c r="B100" s="600"/>
      <c r="C100" s="487" t="s">
        <v>546</v>
      </c>
      <c r="D100" s="344"/>
      <c r="E100" s="286"/>
      <c r="F100" s="608"/>
      <c r="G100" s="13"/>
      <c r="H100" s="379"/>
      <c r="I100" s="86"/>
      <c r="N100" s="89"/>
    </row>
    <row r="101" spans="1:14" s="31" customFormat="1" ht="18">
      <c r="A101" s="98" t="s">
        <v>305</v>
      </c>
      <c r="B101" s="597" t="s">
        <v>551</v>
      </c>
      <c r="C101" s="33" t="s">
        <v>547</v>
      </c>
      <c r="D101" s="344" t="s">
        <v>2</v>
      </c>
      <c r="E101" s="286">
        <v>3</v>
      </c>
      <c r="F101" s="608"/>
      <c r="G101" s="13">
        <f t="shared" si="7"/>
        <v>0</v>
      </c>
      <c r="H101" s="379" t="e">
        <f t="shared" ref="H101:H130" si="8">G101/$G$203</f>
        <v>#DIV/0!</v>
      </c>
      <c r="I101" s="86"/>
      <c r="N101" s="89"/>
    </row>
    <row r="102" spans="1:14" s="31" customFormat="1" ht="36">
      <c r="A102" s="98" t="s">
        <v>664</v>
      </c>
      <c r="B102" s="597">
        <v>91341</v>
      </c>
      <c r="C102" s="92" t="s">
        <v>548</v>
      </c>
      <c r="D102" s="344" t="s">
        <v>2</v>
      </c>
      <c r="E102" s="286">
        <v>1</v>
      </c>
      <c r="F102" s="608"/>
      <c r="G102" s="13">
        <f t="shared" si="7"/>
        <v>0</v>
      </c>
      <c r="H102" s="379" t="e">
        <f t="shared" si="8"/>
        <v>#DIV/0!</v>
      </c>
      <c r="I102" s="86"/>
      <c r="N102" s="89"/>
    </row>
    <row r="103" spans="1:14" s="31" customFormat="1" ht="18">
      <c r="A103" s="98" t="s">
        <v>306</v>
      </c>
      <c r="B103" s="598" t="s">
        <v>802</v>
      </c>
      <c r="C103" s="33" t="s">
        <v>549</v>
      </c>
      <c r="D103" s="344" t="s">
        <v>2</v>
      </c>
      <c r="E103" s="286">
        <v>4</v>
      </c>
      <c r="F103" s="608"/>
      <c r="G103" s="13">
        <f t="shared" si="7"/>
        <v>0</v>
      </c>
      <c r="H103" s="379" t="e">
        <f t="shared" si="8"/>
        <v>#DIV/0!</v>
      </c>
      <c r="I103" s="86"/>
      <c r="N103" s="89"/>
    </row>
    <row r="104" spans="1:14" s="31" customFormat="1" ht="18">
      <c r="A104" s="98" t="s">
        <v>665</v>
      </c>
      <c r="B104" s="598" t="s">
        <v>802</v>
      </c>
      <c r="C104" s="33" t="s">
        <v>550</v>
      </c>
      <c r="D104" s="344" t="s">
        <v>2</v>
      </c>
      <c r="E104" s="286">
        <v>1</v>
      </c>
      <c r="F104" s="608"/>
      <c r="G104" s="13">
        <f t="shared" si="7"/>
        <v>0</v>
      </c>
      <c r="H104" s="379" t="e">
        <f t="shared" si="8"/>
        <v>#DIV/0!</v>
      </c>
      <c r="I104" s="86"/>
      <c r="N104" s="89"/>
    </row>
    <row r="105" spans="1:14" s="31" customFormat="1" ht="36.75" thickBot="1">
      <c r="A105" s="98" t="s">
        <v>666</v>
      </c>
      <c r="B105" s="597" t="s">
        <v>161</v>
      </c>
      <c r="C105" s="91" t="s">
        <v>727</v>
      </c>
      <c r="D105" s="4" t="s">
        <v>2</v>
      </c>
      <c r="E105" s="11">
        <v>1</v>
      </c>
      <c r="F105" s="608"/>
      <c r="G105" s="13">
        <f>F105*E105</f>
        <v>0</v>
      </c>
      <c r="H105" s="379" t="e">
        <f t="shared" si="8"/>
        <v>#DIV/0!</v>
      </c>
      <c r="I105" s="86"/>
      <c r="N105" s="89"/>
    </row>
    <row r="106" spans="1:14" s="31" customFormat="1" ht="18.75" thickBot="1">
      <c r="A106" s="368">
        <v>10</v>
      </c>
      <c r="B106" s="594"/>
      <c r="C106" s="373" t="s">
        <v>233</v>
      </c>
      <c r="D106" s="370"/>
      <c r="E106" s="371"/>
      <c r="F106" s="611"/>
      <c r="G106" s="374">
        <f>SUM(G107:G127)</f>
        <v>0</v>
      </c>
      <c r="H106" s="379" t="e">
        <f t="shared" si="8"/>
        <v>#DIV/0!</v>
      </c>
      <c r="N106" s="89"/>
    </row>
    <row r="107" spans="1:14" s="31" customFormat="1" ht="90">
      <c r="A107" s="98" t="s">
        <v>203</v>
      </c>
      <c r="B107" s="597" t="s">
        <v>569</v>
      </c>
      <c r="C107" s="33" t="str">
        <f>UPPER("Lavatório louça (Deca-Linha Vogue Plus Conforto, ref L-510 ou similar) com coluna suspensa, (Deca, Linha Vogue Plus Conforto, ref. C-510 ou similar), c/ sifão cromado, válvula cromada, engate cromado, exclusive torneira")</f>
        <v>LAVATÓRIO LOUÇA (DECA-LINHA VOGUE PLUS CONFORTO, REF L-510 OU SIMILAR) COM COLUNA SUSPENSA, (DECA, LINHA VOGUE PLUS CONFORTO, REF. C-510 OU SIMILAR), C/ SIFÃO CROMADO, VÁLVULA CROMADA, ENGATE CROMADO, EXCLUSIVE TORNEIRA</v>
      </c>
      <c r="D107" s="4" t="s">
        <v>2</v>
      </c>
      <c r="E107" s="11">
        <v>1</v>
      </c>
      <c r="F107" s="608"/>
      <c r="G107" s="318">
        <f t="shared" ref="G107:G127" si="9">F107*E107</f>
        <v>0</v>
      </c>
      <c r="H107" s="379" t="e">
        <f t="shared" si="8"/>
        <v>#DIV/0!</v>
      </c>
      <c r="N107" s="89"/>
    </row>
    <row r="108" spans="1:14" s="31" customFormat="1" ht="90">
      <c r="A108" s="98" t="s">
        <v>204</v>
      </c>
      <c r="B108" s="597" t="s">
        <v>161</v>
      </c>
      <c r="C108" s="33" t="str">
        <f>UPPER("Vaso sanitário convencional p/deficientes físicos, linha conforto vogue plus P51, DECA ou similar, cj.de fixação DECA SP13 ou similar, anel vedação, tubo ligação cromado, engate plástico, exceto cx. descarga")</f>
        <v>VASO SANITÁRIO CONVENCIONAL P/DEFICIENTES FÍSICOS, LINHA CONFORTO VOGUE PLUS P51, DECA OU SIMILAR, CJ.DE FIXAÇÃO DECA SP13 OU SIMILAR, ANEL VEDAÇÃO, TUBO LIGAÇÃO CROMADO, ENGATE PLÁSTICO, EXCETO CX. DESCARGA</v>
      </c>
      <c r="D108" s="4" t="s">
        <v>2</v>
      </c>
      <c r="E108" s="11">
        <v>1</v>
      </c>
      <c r="F108" s="608"/>
      <c r="G108" s="318">
        <f t="shared" si="9"/>
        <v>0</v>
      </c>
      <c r="H108" s="379" t="e">
        <f t="shared" si="8"/>
        <v>#DIV/0!</v>
      </c>
      <c r="N108" s="89"/>
    </row>
    <row r="109" spans="1:14" s="31" customFormat="1" ht="36">
      <c r="A109" s="98" t="s">
        <v>277</v>
      </c>
      <c r="B109" s="597" t="s">
        <v>350</v>
      </c>
      <c r="C109" s="33" t="s">
        <v>294</v>
      </c>
      <c r="D109" s="4" t="s">
        <v>2</v>
      </c>
      <c r="E109" s="11">
        <v>1</v>
      </c>
      <c r="F109" s="608"/>
      <c r="G109" s="318">
        <f t="shared" si="9"/>
        <v>0</v>
      </c>
      <c r="H109" s="379" t="e">
        <f t="shared" si="8"/>
        <v>#DIV/0!</v>
      </c>
      <c r="N109" s="89"/>
    </row>
    <row r="110" spans="1:14" s="31" customFormat="1" ht="36">
      <c r="A110" s="98" t="s">
        <v>292</v>
      </c>
      <c r="B110" s="597" t="s">
        <v>161</v>
      </c>
      <c r="C110" s="33" t="str">
        <f>COMPOSIÇÕES!D119</f>
        <v>ACABAMENTO PARA VÁLVULA HYDRA ECO CONFORTO COM CONVERSOR CROMADO DECA</v>
      </c>
      <c r="D110" s="4" t="s">
        <v>2</v>
      </c>
      <c r="E110" s="11">
        <v>1</v>
      </c>
      <c r="F110" s="608"/>
      <c r="G110" s="318">
        <f t="shared" si="9"/>
        <v>0</v>
      </c>
      <c r="H110" s="379" t="e">
        <f t="shared" si="8"/>
        <v>#DIV/0!</v>
      </c>
      <c r="N110" s="89"/>
    </row>
    <row r="111" spans="1:14" s="31" customFormat="1" ht="18" customHeight="1">
      <c r="A111" s="98" t="s">
        <v>293</v>
      </c>
      <c r="B111" s="597" t="s">
        <v>161</v>
      </c>
      <c r="C111" s="33" t="str">
        <f>COMPOSIÇÕES!D59</f>
        <v>PROTETOR DE IMPACTO EM AÇO INOXIDAVEL AISI 304 90X40CM</v>
      </c>
      <c r="D111" s="4" t="s">
        <v>2</v>
      </c>
      <c r="E111" s="11">
        <v>2</v>
      </c>
      <c r="F111" s="608"/>
      <c r="G111" s="318">
        <f t="shared" si="9"/>
        <v>0</v>
      </c>
      <c r="H111" s="379" t="e">
        <f t="shared" si="8"/>
        <v>#DIV/0!</v>
      </c>
      <c r="N111" s="89"/>
    </row>
    <row r="112" spans="1:14" s="31" customFormat="1" ht="54">
      <c r="A112" s="98" t="s">
        <v>307</v>
      </c>
      <c r="B112" s="597" t="s">
        <v>161</v>
      </c>
      <c r="C112" s="33" t="str">
        <f>COMPOSIÇÕES!D69</f>
        <v>TORNEIRA COM ALAVANCA PARA LAVATÓRIO DE MESA DECAMATIC 1173.C.CONF CONFORTO COM FECHAMENTO AUTOMÁTICO CROMADO DECA OU SIMILAR</v>
      </c>
      <c r="D112" s="4" t="s">
        <v>2</v>
      </c>
      <c r="E112" s="11">
        <v>1</v>
      </c>
      <c r="F112" s="608"/>
      <c r="G112" s="318">
        <f t="shared" si="9"/>
        <v>0</v>
      </c>
      <c r="H112" s="379" t="e">
        <f t="shared" si="8"/>
        <v>#DIV/0!</v>
      </c>
      <c r="N112" s="89"/>
    </row>
    <row r="113" spans="1:14" s="31" customFormat="1" ht="18">
      <c r="A113" s="98" t="s">
        <v>351</v>
      </c>
      <c r="B113" s="597" t="s">
        <v>161</v>
      </c>
      <c r="C113" s="33" t="str">
        <f>COMPOSIÇÕES!D76</f>
        <v>BARRA DE APROXIMAÇÃO EM AÇO INOX RETA L=40CM, 1 1/2</v>
      </c>
      <c r="D113" s="4" t="s">
        <v>2</v>
      </c>
      <c r="E113" s="11">
        <v>1</v>
      </c>
      <c r="F113" s="608"/>
      <c r="G113" s="318">
        <f t="shared" si="9"/>
        <v>0</v>
      </c>
      <c r="H113" s="379" t="e">
        <f t="shared" si="8"/>
        <v>#DIV/0!</v>
      </c>
      <c r="N113" s="89"/>
    </row>
    <row r="114" spans="1:14" s="31" customFormat="1" ht="36">
      <c r="A114" s="98" t="s">
        <v>352</v>
      </c>
      <c r="B114" s="597" t="s">
        <v>161</v>
      </c>
      <c r="C114" s="33" t="str">
        <f>COMPOSIÇÕES!D81</f>
        <v>BARRA DE APOIO TIPO U PARA LAVATÓRIO, EM AÇO INOX 304, D=1 1/2'', 25X26CM</v>
      </c>
      <c r="D114" s="4" t="s">
        <v>2</v>
      </c>
      <c r="E114" s="11">
        <v>1</v>
      </c>
      <c r="F114" s="608"/>
      <c r="G114" s="318">
        <f t="shared" si="9"/>
        <v>0</v>
      </c>
      <c r="H114" s="379" t="e">
        <f t="shared" si="8"/>
        <v>#DIV/0!</v>
      </c>
      <c r="N114" s="89"/>
    </row>
    <row r="115" spans="1:14" s="31" customFormat="1" ht="18">
      <c r="A115" s="98" t="s">
        <v>353</v>
      </c>
      <c r="B115" s="597" t="s">
        <v>161</v>
      </c>
      <c r="C115" s="33" t="str">
        <f>COMPOSIÇÕES!D98</f>
        <v>BARRA DE APOIO EM AÇO INOX L=80CM, #=1 1/2</v>
      </c>
      <c r="D115" s="4" t="s">
        <v>2</v>
      </c>
      <c r="E115" s="11">
        <v>2</v>
      </c>
      <c r="F115" s="608"/>
      <c r="G115" s="318">
        <f t="shared" si="9"/>
        <v>0</v>
      </c>
      <c r="H115" s="379" t="e">
        <f t="shared" si="8"/>
        <v>#DIV/0!</v>
      </c>
      <c r="N115" s="89"/>
    </row>
    <row r="116" spans="1:14" s="31" customFormat="1" ht="18">
      <c r="A116" s="98" t="s">
        <v>354</v>
      </c>
      <c r="B116" s="597" t="s">
        <v>161</v>
      </c>
      <c r="C116" s="33" t="str">
        <f>COMPOSIÇÕES!D103</f>
        <v>BARRA DE APOIO EM AÇO INOX L=70CM, #=1 1/2</v>
      </c>
      <c r="D116" s="4" t="s">
        <v>2</v>
      </c>
      <c r="E116" s="11">
        <v>1</v>
      </c>
      <c r="F116" s="608"/>
      <c r="G116" s="318">
        <f t="shared" si="9"/>
        <v>0</v>
      </c>
      <c r="H116" s="379" t="e">
        <f t="shared" si="8"/>
        <v>#DIV/0!</v>
      </c>
      <c r="N116" s="89"/>
    </row>
    <row r="117" spans="1:14" s="31" customFormat="1" ht="18">
      <c r="A117" s="98" t="s">
        <v>355</v>
      </c>
      <c r="B117" s="597" t="s">
        <v>161</v>
      </c>
      <c r="C117" s="33" t="str">
        <f>COMPOSIÇÕES!D108</f>
        <v>BARRA DE APOIO EM AÇO INOX L=60CM, #=1 1/2</v>
      </c>
      <c r="D117" s="4" t="s">
        <v>2</v>
      </c>
      <c r="E117" s="11">
        <v>1</v>
      </c>
      <c r="F117" s="608"/>
      <c r="G117" s="318">
        <f t="shared" si="9"/>
        <v>0</v>
      </c>
      <c r="H117" s="379" t="e">
        <f t="shared" si="8"/>
        <v>#DIV/0!</v>
      </c>
      <c r="N117" s="89"/>
    </row>
    <row r="118" spans="1:14" s="31" customFormat="1" ht="54">
      <c r="A118" s="98" t="s">
        <v>574</v>
      </c>
      <c r="B118" s="597" t="s">
        <v>161</v>
      </c>
      <c r="C118" s="33" t="str">
        <f>COMPOSIÇÕES!D113</f>
        <v xml:space="preserve">ALARME AUDIOVISUAL SEM FIO BIVOLT 110/220V PARA SANITÁRIO ACESSÍVEL, INCL PLACA TÁTIL EM ALTO RELEVO E BRAILLE ESCRITO: "EMERGÊNCIA: ACIONAR O BOTÃO" </v>
      </c>
      <c r="D118" s="4" t="s">
        <v>2</v>
      </c>
      <c r="E118" s="11">
        <v>1</v>
      </c>
      <c r="F118" s="608"/>
      <c r="G118" s="318">
        <f t="shared" si="9"/>
        <v>0</v>
      </c>
      <c r="H118" s="379" t="e">
        <f t="shared" si="8"/>
        <v>#DIV/0!</v>
      </c>
      <c r="N118" s="89"/>
    </row>
    <row r="119" spans="1:14" s="31" customFormat="1" ht="54">
      <c r="A119" s="98" t="s">
        <v>575</v>
      </c>
      <c r="B119" s="598" t="s">
        <v>563</v>
      </c>
      <c r="C119" s="493" t="s">
        <v>564</v>
      </c>
      <c r="D119" s="4" t="s">
        <v>2</v>
      </c>
      <c r="E119" s="11">
        <v>1</v>
      </c>
      <c r="F119" s="608"/>
      <c r="G119" s="318">
        <f t="shared" si="9"/>
        <v>0</v>
      </c>
      <c r="H119" s="379" t="e">
        <f t="shared" si="8"/>
        <v>#DIV/0!</v>
      </c>
      <c r="N119" s="89"/>
    </row>
    <row r="120" spans="1:14" s="31" customFormat="1" ht="36">
      <c r="A120" s="98" t="s">
        <v>576</v>
      </c>
      <c r="B120" s="598" t="s">
        <v>278</v>
      </c>
      <c r="C120" s="492" t="str">
        <f>UPPER("Prateleira em granito cinza andorinha, esp= 2cm 25x35 cm, chanfrada com bordas arredondadas")</f>
        <v>PRATELEIRA EM GRANITO CINZA ANDORINHA, ESP= 2CM 25X35 CM, CHANFRADA COM BORDAS ARREDONDADAS</v>
      </c>
      <c r="D120" s="4" t="s">
        <v>2</v>
      </c>
      <c r="E120" s="11">
        <v>1</v>
      </c>
      <c r="F120" s="608"/>
      <c r="G120" s="318">
        <f t="shared" si="9"/>
        <v>0</v>
      </c>
      <c r="H120" s="379" t="e">
        <f t="shared" si="8"/>
        <v>#DIV/0!</v>
      </c>
      <c r="N120" s="89"/>
    </row>
    <row r="121" spans="1:14" s="31" customFormat="1" ht="36">
      <c r="A121" s="98" t="s">
        <v>577</v>
      </c>
      <c r="B121" s="598" t="s">
        <v>573</v>
      </c>
      <c r="C121" s="606" t="str">
        <f>UPPER("Cabide em aço inox, DECA 2060 C37, acabamento cromado ou similar")</f>
        <v>CABIDE EM AÇO INOX, DECA 2060 C37, ACABAMENTO CROMADO OU SIMILAR</v>
      </c>
      <c r="D121" s="4" t="s">
        <v>2</v>
      </c>
      <c r="E121" s="11">
        <v>1</v>
      </c>
      <c r="F121" s="608"/>
      <c r="G121" s="318">
        <f t="shared" si="9"/>
        <v>0</v>
      </c>
      <c r="H121" s="379" t="e">
        <f t="shared" si="8"/>
        <v>#DIV/0!</v>
      </c>
      <c r="N121" s="89"/>
    </row>
    <row r="122" spans="1:14" s="31" customFormat="1" ht="36">
      <c r="A122" s="98" t="s">
        <v>578</v>
      </c>
      <c r="B122" s="598" t="s">
        <v>570</v>
      </c>
      <c r="C122" s="492" t="s">
        <v>560</v>
      </c>
      <c r="D122" s="4" t="s">
        <v>2</v>
      </c>
      <c r="E122" s="11">
        <v>1</v>
      </c>
      <c r="F122" s="608"/>
      <c r="G122" s="318">
        <f t="shared" si="9"/>
        <v>0</v>
      </c>
      <c r="H122" s="379" t="e">
        <f t="shared" si="8"/>
        <v>#DIV/0!</v>
      </c>
      <c r="N122" s="89"/>
    </row>
    <row r="123" spans="1:14" s="31" customFormat="1" ht="36">
      <c r="A123" s="98" t="s">
        <v>579</v>
      </c>
      <c r="B123" s="598" t="s">
        <v>774</v>
      </c>
      <c r="C123" s="492" t="s">
        <v>561</v>
      </c>
      <c r="D123" s="4" t="s">
        <v>2</v>
      </c>
      <c r="E123" s="11">
        <v>1</v>
      </c>
      <c r="F123" s="608"/>
      <c r="G123" s="318">
        <f t="shared" si="9"/>
        <v>0</v>
      </c>
      <c r="H123" s="379" t="e">
        <f t="shared" si="8"/>
        <v>#DIV/0!</v>
      </c>
      <c r="N123" s="89"/>
    </row>
    <row r="124" spans="1:14" s="31" customFormat="1" ht="36">
      <c r="A124" s="98" t="s">
        <v>580</v>
      </c>
      <c r="B124" s="598" t="s">
        <v>571</v>
      </c>
      <c r="C124" s="492" t="s">
        <v>562</v>
      </c>
      <c r="D124" s="4" t="s">
        <v>2</v>
      </c>
      <c r="E124" s="11">
        <v>1</v>
      </c>
      <c r="F124" s="608"/>
      <c r="G124" s="318">
        <f t="shared" si="9"/>
        <v>0</v>
      </c>
      <c r="H124" s="379" t="e">
        <f t="shared" si="8"/>
        <v>#DIV/0!</v>
      </c>
      <c r="N124" s="89"/>
    </row>
    <row r="125" spans="1:14" s="31" customFormat="1" ht="36">
      <c r="A125" s="98" t="s">
        <v>581</v>
      </c>
      <c r="B125" s="600" t="s">
        <v>572</v>
      </c>
      <c r="C125" s="492" t="s">
        <v>559</v>
      </c>
      <c r="D125" s="4" t="s">
        <v>2</v>
      </c>
      <c r="E125" s="11">
        <v>1</v>
      </c>
      <c r="F125" s="608"/>
      <c r="G125" s="318">
        <f t="shared" si="9"/>
        <v>0</v>
      </c>
      <c r="H125" s="379" t="e">
        <f t="shared" si="8"/>
        <v>#DIV/0!</v>
      </c>
      <c r="N125" s="89"/>
    </row>
    <row r="126" spans="1:14" s="31" customFormat="1" ht="54">
      <c r="A126" s="98" t="s">
        <v>582</v>
      </c>
      <c r="B126" s="598" t="s">
        <v>775</v>
      </c>
      <c r="C126" s="494" t="s">
        <v>716</v>
      </c>
      <c r="D126" s="4" t="s">
        <v>2</v>
      </c>
      <c r="E126" s="11">
        <v>1</v>
      </c>
      <c r="F126" s="608"/>
      <c r="G126" s="318">
        <f>F126*E126</f>
        <v>0</v>
      </c>
      <c r="H126" s="379" t="e">
        <f t="shared" si="8"/>
        <v>#DIV/0!</v>
      </c>
      <c r="N126" s="89"/>
    </row>
    <row r="127" spans="1:14" s="31" customFormat="1" ht="72.75" thickBot="1">
      <c r="A127" s="98" t="s">
        <v>583</v>
      </c>
      <c r="B127" s="600" t="s">
        <v>584</v>
      </c>
      <c r="C127" s="493" t="str">
        <f>UPPER("PLACA TÁTIL BRAILLE/RELEVO/SÍMBOLOS ACRÍLICO TECH TALK NFC 20X15CM - USO SINALIZ. DE PORTAS DIV. (03 OU 04 PALAVRAS COM SIMBOLOS. EX. SANITÁRIO MASCULINO ACESSÍVEL / SANITÁRIO MASCULINO E FEMININO ACESSÍVEL) ")</f>
        <v xml:space="preserve">PLACA TÁTIL BRAILLE/RELEVO/SÍMBOLOS ACRÍLICO TECH TALK NFC 20X15CM - USO SINALIZ. DE PORTAS DIV. (03 OU 04 PALAVRAS COM SIMBOLOS. EX. SANITÁRIO MASCULINO ACESSÍVEL / SANITÁRIO MASCULINO E FEMININO ACESSÍVEL) </v>
      </c>
      <c r="D127" s="4" t="s">
        <v>2</v>
      </c>
      <c r="E127" s="11">
        <v>1</v>
      </c>
      <c r="F127" s="608"/>
      <c r="G127" s="318">
        <f t="shared" si="9"/>
        <v>0</v>
      </c>
      <c r="H127" s="379" t="e">
        <f t="shared" si="8"/>
        <v>#DIV/0!</v>
      </c>
      <c r="N127" s="89"/>
    </row>
    <row r="128" spans="1:14" s="31" customFormat="1" ht="18.75" thickBot="1">
      <c r="A128" s="368">
        <v>11</v>
      </c>
      <c r="B128" s="594"/>
      <c r="C128" s="373" t="s">
        <v>589</v>
      </c>
      <c r="D128" s="370"/>
      <c r="E128" s="371"/>
      <c r="F128" s="611"/>
      <c r="G128" s="374">
        <f>SUM(G129:G134)</f>
        <v>0</v>
      </c>
      <c r="H128" s="379" t="e">
        <f t="shared" si="8"/>
        <v>#DIV/0!</v>
      </c>
      <c r="N128" s="89"/>
    </row>
    <row r="129" spans="1:14" s="31" customFormat="1" ht="18">
      <c r="A129" s="98" t="s">
        <v>205</v>
      </c>
      <c r="B129" s="601" t="s">
        <v>586</v>
      </c>
      <c r="C129" s="33" t="s">
        <v>585</v>
      </c>
      <c r="D129" s="4" t="s">
        <v>2</v>
      </c>
      <c r="E129" s="11">
        <v>2</v>
      </c>
      <c r="F129" s="615"/>
      <c r="G129" s="13">
        <f t="shared" ref="G129:G134" si="10">F129*E129</f>
        <v>0</v>
      </c>
      <c r="H129" s="379" t="e">
        <f t="shared" si="8"/>
        <v>#DIV/0!</v>
      </c>
      <c r="N129" s="89"/>
    </row>
    <row r="130" spans="1:14" s="31" customFormat="1" ht="18">
      <c r="A130" s="98" t="s">
        <v>667</v>
      </c>
      <c r="B130" s="601" t="s">
        <v>803</v>
      </c>
      <c r="C130" s="33" t="s">
        <v>587</v>
      </c>
      <c r="D130" s="344" t="s">
        <v>2</v>
      </c>
      <c r="E130" s="11">
        <v>2</v>
      </c>
      <c r="F130" s="615"/>
      <c r="G130" s="13">
        <f t="shared" si="10"/>
        <v>0</v>
      </c>
      <c r="H130" s="379" t="e">
        <f t="shared" si="8"/>
        <v>#DIV/0!</v>
      </c>
      <c r="N130" s="89"/>
    </row>
    <row r="131" spans="1:14" s="31" customFormat="1" ht="18">
      <c r="A131" s="98" t="s">
        <v>668</v>
      </c>
      <c r="B131" s="601">
        <v>90446</v>
      </c>
      <c r="C131" s="33" t="s">
        <v>697</v>
      </c>
      <c r="D131" s="344" t="s">
        <v>17</v>
      </c>
      <c r="E131" s="11">
        <v>6</v>
      </c>
      <c r="F131" s="615"/>
      <c r="G131" s="13">
        <f t="shared" si="10"/>
        <v>0</v>
      </c>
      <c r="H131" s="379" t="e">
        <f t="shared" ref="H131:H163" si="11">G131/$G$203</f>
        <v>#DIV/0!</v>
      </c>
      <c r="N131" s="89"/>
    </row>
    <row r="132" spans="1:14" s="31" customFormat="1" ht="18">
      <c r="A132" s="98" t="s">
        <v>669</v>
      </c>
      <c r="B132" s="601" t="s">
        <v>776</v>
      </c>
      <c r="C132" s="33" t="s">
        <v>588</v>
      </c>
      <c r="D132" s="344" t="s">
        <v>2</v>
      </c>
      <c r="E132" s="11">
        <v>1</v>
      </c>
      <c r="F132" s="615"/>
      <c r="G132" s="13">
        <f t="shared" si="10"/>
        <v>0</v>
      </c>
      <c r="H132" s="379" t="e">
        <f t="shared" si="11"/>
        <v>#DIV/0!</v>
      </c>
      <c r="N132" s="89"/>
    </row>
    <row r="133" spans="1:14" s="31" customFormat="1" ht="36" customHeight="1">
      <c r="A133" s="98" t="s">
        <v>670</v>
      </c>
      <c r="B133" s="597" t="s">
        <v>777</v>
      </c>
      <c r="C133" s="283" t="s">
        <v>315</v>
      </c>
      <c r="D133" s="344" t="s">
        <v>17</v>
      </c>
      <c r="E133" s="11">
        <v>6</v>
      </c>
      <c r="F133" s="616"/>
      <c r="G133" s="13">
        <f t="shared" si="10"/>
        <v>0</v>
      </c>
      <c r="H133" s="379" t="e">
        <f t="shared" si="11"/>
        <v>#DIV/0!</v>
      </c>
      <c r="N133" s="89"/>
    </row>
    <row r="134" spans="1:14" s="31" customFormat="1" ht="36.75" thickBot="1">
      <c r="A134" s="98" t="s">
        <v>698</v>
      </c>
      <c r="B134" s="597" t="s">
        <v>778</v>
      </c>
      <c r="C134" s="283" t="s">
        <v>590</v>
      </c>
      <c r="D134" s="344" t="s">
        <v>2</v>
      </c>
      <c r="E134" s="11">
        <v>1</v>
      </c>
      <c r="F134" s="616"/>
      <c r="G134" s="13">
        <f t="shared" si="10"/>
        <v>0</v>
      </c>
      <c r="H134" s="379" t="e">
        <f t="shared" si="11"/>
        <v>#DIV/0!</v>
      </c>
      <c r="N134" s="89"/>
    </row>
    <row r="135" spans="1:14" s="31" customFormat="1" ht="18.75" thickBot="1">
      <c r="A135" s="368">
        <v>12</v>
      </c>
      <c r="B135" s="594"/>
      <c r="C135" s="373" t="s">
        <v>10</v>
      </c>
      <c r="D135" s="370"/>
      <c r="E135" s="371"/>
      <c r="F135" s="611"/>
      <c r="G135" s="374">
        <f>SUM(G136:G161)</f>
        <v>0</v>
      </c>
      <c r="H135" s="379" t="e">
        <f t="shared" si="11"/>
        <v>#DIV/0!</v>
      </c>
      <c r="N135" s="89"/>
    </row>
    <row r="136" spans="1:14" s="31" customFormat="1" ht="54" customHeight="1">
      <c r="A136" s="98" t="s">
        <v>206</v>
      </c>
      <c r="B136" s="597" t="s">
        <v>804</v>
      </c>
      <c r="C136" s="33" t="str">
        <f>UPPER("Luminária de embutir com aletas, para lâmpada fluorescente, 2 x 32w, ref. TBS020232CIRL, da Philips, EXCLUSIVE reator e lâmpada")</f>
        <v>LUMINÁRIA DE EMBUTIR COM ALETAS, PARA LÂMPADA FLUORESCENTE, 2 X 32W, REF. TBS020232CIRL, DA PHILIPS, EXCLUSIVE REATOR E LÂMPADA</v>
      </c>
      <c r="D136" s="344" t="s">
        <v>2</v>
      </c>
      <c r="E136" s="285">
        <v>22</v>
      </c>
      <c r="F136" s="615"/>
      <c r="G136" s="13">
        <f>F136*E136</f>
        <v>0</v>
      </c>
      <c r="H136" s="379" t="e">
        <f t="shared" si="11"/>
        <v>#DIV/0!</v>
      </c>
      <c r="N136" s="89"/>
    </row>
    <row r="137" spans="1:14" s="31" customFormat="1" ht="18" customHeight="1">
      <c r="A137" s="98" t="s">
        <v>207</v>
      </c>
      <c r="B137" s="597" t="s">
        <v>805</v>
      </c>
      <c r="C137" s="283" t="s">
        <v>806</v>
      </c>
      <c r="D137" s="344" t="s">
        <v>2</v>
      </c>
      <c r="E137" s="285">
        <f>2*E136</f>
        <v>44</v>
      </c>
      <c r="F137" s="615"/>
      <c r="G137" s="13">
        <f>F137*E137</f>
        <v>0</v>
      </c>
      <c r="H137" s="379" t="e">
        <f t="shared" si="11"/>
        <v>#DIV/0!</v>
      </c>
      <c r="N137" s="89"/>
    </row>
    <row r="138" spans="1:14" s="31" customFormat="1" ht="54" customHeight="1">
      <c r="A138" s="98" t="s">
        <v>208</v>
      </c>
      <c r="B138" s="598" t="s">
        <v>161</v>
      </c>
      <c r="C138" s="351" t="s">
        <v>605</v>
      </c>
      <c r="D138" s="4" t="s">
        <v>2</v>
      </c>
      <c r="E138" s="496">
        <v>4</v>
      </c>
      <c r="F138" s="615"/>
      <c r="G138" s="13">
        <f>F138*E138</f>
        <v>0</v>
      </c>
      <c r="H138" s="379" t="e">
        <f t="shared" si="11"/>
        <v>#DIV/0!</v>
      </c>
      <c r="N138" s="89"/>
    </row>
    <row r="139" spans="1:14" s="31" customFormat="1" ht="36">
      <c r="A139" s="98" t="s">
        <v>209</v>
      </c>
      <c r="B139" s="598" t="s">
        <v>161</v>
      </c>
      <c r="C139" s="351" t="s">
        <v>612</v>
      </c>
      <c r="D139" s="4" t="s">
        <v>2</v>
      </c>
      <c r="E139" s="496">
        <v>3</v>
      </c>
      <c r="F139" s="615"/>
      <c r="G139" s="13">
        <f t="shared" ref="G139:G151" si="12">F139*E139</f>
        <v>0</v>
      </c>
      <c r="H139" s="379" t="e">
        <f t="shared" si="11"/>
        <v>#DIV/0!</v>
      </c>
      <c r="N139" s="89"/>
    </row>
    <row r="140" spans="1:14" s="31" customFormat="1" ht="18">
      <c r="A140" s="98" t="s">
        <v>210</v>
      </c>
      <c r="B140" s="598" t="s">
        <v>808</v>
      </c>
      <c r="C140" s="351" t="s">
        <v>618</v>
      </c>
      <c r="D140" s="4" t="s">
        <v>2</v>
      </c>
      <c r="E140" s="496">
        <v>104</v>
      </c>
      <c r="F140" s="615"/>
      <c r="G140" s="13">
        <f>F140*E140</f>
        <v>0</v>
      </c>
      <c r="H140" s="379" t="e">
        <f t="shared" si="11"/>
        <v>#DIV/0!</v>
      </c>
      <c r="N140" s="89"/>
    </row>
    <row r="141" spans="1:14" s="31" customFormat="1" ht="36">
      <c r="A141" s="98" t="s">
        <v>211</v>
      </c>
      <c r="B141" s="598" t="s">
        <v>161</v>
      </c>
      <c r="C141" s="283" t="s">
        <v>317</v>
      </c>
      <c r="D141" s="4" t="s">
        <v>17</v>
      </c>
      <c r="E141" s="285">
        <v>75.400000000000006</v>
      </c>
      <c r="F141" s="615"/>
      <c r="G141" s="13">
        <f t="shared" si="12"/>
        <v>0</v>
      </c>
      <c r="H141" s="379" t="e">
        <f t="shared" si="11"/>
        <v>#DIV/0!</v>
      </c>
      <c r="N141" s="89"/>
    </row>
    <row r="142" spans="1:14" s="31" customFormat="1" ht="36">
      <c r="A142" s="98" t="s">
        <v>212</v>
      </c>
      <c r="B142" s="598" t="s">
        <v>161</v>
      </c>
      <c r="C142" s="283" t="s">
        <v>329</v>
      </c>
      <c r="D142" s="4" t="s">
        <v>17</v>
      </c>
      <c r="E142" s="285">
        <v>28.2</v>
      </c>
      <c r="F142" s="615"/>
      <c r="G142" s="13">
        <f t="shared" si="12"/>
        <v>0</v>
      </c>
      <c r="H142" s="379" t="e">
        <f t="shared" si="11"/>
        <v>#DIV/0!</v>
      </c>
      <c r="N142" s="89"/>
    </row>
    <row r="143" spans="1:14" s="31" customFormat="1" ht="36">
      <c r="A143" s="98" t="s">
        <v>213</v>
      </c>
      <c r="B143" s="598" t="s">
        <v>161</v>
      </c>
      <c r="C143" s="283" t="s">
        <v>318</v>
      </c>
      <c r="D143" s="4" t="s">
        <v>2</v>
      </c>
      <c r="E143" s="285">
        <v>33</v>
      </c>
      <c r="F143" s="615"/>
      <c r="G143" s="13">
        <f t="shared" si="12"/>
        <v>0</v>
      </c>
      <c r="H143" s="379" t="e">
        <f t="shared" si="11"/>
        <v>#DIV/0!</v>
      </c>
      <c r="N143" s="89"/>
    </row>
    <row r="144" spans="1:14" s="31" customFormat="1" ht="36" customHeight="1">
      <c r="A144" s="98" t="s">
        <v>214</v>
      </c>
      <c r="B144" s="598" t="s">
        <v>779</v>
      </c>
      <c r="C144" s="283" t="s">
        <v>171</v>
      </c>
      <c r="D144" s="4" t="s">
        <v>17</v>
      </c>
      <c r="E144" s="285">
        <v>4.3</v>
      </c>
      <c r="F144" s="615"/>
      <c r="G144" s="13">
        <f t="shared" si="12"/>
        <v>0</v>
      </c>
      <c r="H144" s="379" t="e">
        <f t="shared" si="11"/>
        <v>#DIV/0!</v>
      </c>
      <c r="N144" s="89"/>
    </row>
    <row r="145" spans="1:14" s="31" customFormat="1" ht="36" customHeight="1">
      <c r="A145" s="98" t="s">
        <v>310</v>
      </c>
      <c r="B145" s="598" t="s">
        <v>780</v>
      </c>
      <c r="C145" s="283" t="s">
        <v>234</v>
      </c>
      <c r="D145" s="4" t="s">
        <v>17</v>
      </c>
      <c r="E145" s="285">
        <v>4.2</v>
      </c>
      <c r="F145" s="615"/>
      <c r="G145" s="13">
        <f t="shared" si="12"/>
        <v>0</v>
      </c>
      <c r="H145" s="379" t="e">
        <f t="shared" si="11"/>
        <v>#DIV/0!</v>
      </c>
      <c r="N145" s="89"/>
    </row>
    <row r="146" spans="1:14" s="31" customFormat="1" ht="36" customHeight="1">
      <c r="A146" s="98" t="s">
        <v>311</v>
      </c>
      <c r="B146" s="598" t="s">
        <v>781</v>
      </c>
      <c r="C146" s="283" t="s">
        <v>619</v>
      </c>
      <c r="D146" s="4" t="s">
        <v>17</v>
      </c>
      <c r="E146" s="496">
        <f>11.3</f>
        <v>11.3</v>
      </c>
      <c r="F146" s="615"/>
      <c r="G146" s="13">
        <f t="shared" si="12"/>
        <v>0</v>
      </c>
      <c r="H146" s="379" t="e">
        <f t="shared" si="11"/>
        <v>#DIV/0!</v>
      </c>
      <c r="N146" s="89"/>
    </row>
    <row r="147" spans="1:14" s="31" customFormat="1" ht="36" customHeight="1">
      <c r="A147" s="98" t="s">
        <v>312</v>
      </c>
      <c r="B147" s="598">
        <v>91865</v>
      </c>
      <c r="C147" s="283" t="s">
        <v>620</v>
      </c>
      <c r="D147" s="4" t="s">
        <v>17</v>
      </c>
      <c r="E147" s="496">
        <v>19.899999999999999</v>
      </c>
      <c r="F147" s="615"/>
      <c r="G147" s="13">
        <f t="shared" si="12"/>
        <v>0</v>
      </c>
      <c r="H147" s="379" t="e">
        <f t="shared" si="11"/>
        <v>#DIV/0!</v>
      </c>
      <c r="N147" s="89"/>
    </row>
    <row r="148" spans="1:14" s="31" customFormat="1" ht="18" customHeight="1">
      <c r="A148" s="98" t="s">
        <v>313</v>
      </c>
      <c r="B148" s="598" t="s">
        <v>782</v>
      </c>
      <c r="C148" s="283" t="s">
        <v>265</v>
      </c>
      <c r="D148" s="4" t="s">
        <v>17</v>
      </c>
      <c r="E148" s="285">
        <v>39.700000000000003</v>
      </c>
      <c r="F148" s="615"/>
      <c r="G148" s="13">
        <f t="shared" si="12"/>
        <v>0</v>
      </c>
      <c r="H148" s="379" t="e">
        <f t="shared" si="11"/>
        <v>#DIV/0!</v>
      </c>
      <c r="N148" s="89"/>
    </row>
    <row r="149" spans="1:14" s="31" customFormat="1" ht="54">
      <c r="A149" s="98" t="s">
        <v>314</v>
      </c>
      <c r="B149" s="598" t="s">
        <v>783</v>
      </c>
      <c r="C149" s="283" t="s">
        <v>41</v>
      </c>
      <c r="D149" s="4" t="s">
        <v>17</v>
      </c>
      <c r="E149" s="285">
        <v>997.8</v>
      </c>
      <c r="F149" s="615"/>
      <c r="G149" s="13">
        <f t="shared" si="12"/>
        <v>0</v>
      </c>
      <c r="H149" s="379" t="e">
        <f t="shared" si="11"/>
        <v>#DIV/0!</v>
      </c>
      <c r="N149" s="89"/>
    </row>
    <row r="150" spans="1:14" s="31" customFormat="1" ht="36" customHeight="1">
      <c r="A150" s="98" t="s">
        <v>215</v>
      </c>
      <c r="B150" s="598" t="s">
        <v>784</v>
      </c>
      <c r="C150" s="283" t="s">
        <v>172</v>
      </c>
      <c r="D150" s="344" t="s">
        <v>2</v>
      </c>
      <c r="E150" s="285">
        <v>3</v>
      </c>
      <c r="F150" s="615"/>
      <c r="G150" s="13">
        <f t="shared" si="12"/>
        <v>0</v>
      </c>
      <c r="H150" s="379" t="e">
        <f t="shared" si="11"/>
        <v>#DIV/0!</v>
      </c>
      <c r="N150" s="89"/>
    </row>
    <row r="151" spans="1:14" s="31" customFormat="1" ht="36" customHeight="1">
      <c r="A151" s="98" t="s">
        <v>216</v>
      </c>
      <c r="B151" s="598" t="s">
        <v>785</v>
      </c>
      <c r="C151" s="33" t="s">
        <v>173</v>
      </c>
      <c r="D151" s="344" t="s">
        <v>2</v>
      </c>
      <c r="E151" s="11">
        <v>4</v>
      </c>
      <c r="F151" s="615"/>
      <c r="G151" s="13">
        <f t="shared" si="12"/>
        <v>0</v>
      </c>
      <c r="H151" s="379" t="e">
        <f t="shared" si="11"/>
        <v>#DIV/0!</v>
      </c>
      <c r="N151" s="89"/>
    </row>
    <row r="152" spans="1:14" s="31" customFormat="1" ht="36">
      <c r="A152" s="98" t="s">
        <v>217</v>
      </c>
      <c r="B152" s="598">
        <v>91937</v>
      </c>
      <c r="C152" s="33" t="s">
        <v>621</v>
      </c>
      <c r="D152" s="4" t="s">
        <v>2</v>
      </c>
      <c r="E152" s="467">
        <v>29</v>
      </c>
      <c r="F152" s="615"/>
      <c r="G152" s="13">
        <f t="shared" ref="G152:G160" si="13">F152*E152</f>
        <v>0</v>
      </c>
      <c r="H152" s="379" t="e">
        <f t="shared" si="11"/>
        <v>#DIV/0!</v>
      </c>
      <c r="N152" s="89"/>
    </row>
    <row r="153" spans="1:14" s="31" customFormat="1" ht="40.9" customHeight="1">
      <c r="A153" s="98" t="s">
        <v>218</v>
      </c>
      <c r="B153" s="598" t="s">
        <v>161</v>
      </c>
      <c r="C153" s="33" t="s">
        <v>622</v>
      </c>
      <c r="D153" s="4" t="s">
        <v>2</v>
      </c>
      <c r="E153" s="467">
        <v>26</v>
      </c>
      <c r="F153" s="615"/>
      <c r="G153" s="13">
        <f t="shared" si="13"/>
        <v>0</v>
      </c>
      <c r="H153" s="379" t="e">
        <f t="shared" si="11"/>
        <v>#DIV/0!</v>
      </c>
      <c r="N153" s="89"/>
    </row>
    <row r="154" spans="1:14" s="31" customFormat="1" ht="54">
      <c r="A154" s="98" t="s">
        <v>219</v>
      </c>
      <c r="B154" s="598">
        <v>91875</v>
      </c>
      <c r="C154" s="33" t="s">
        <v>626</v>
      </c>
      <c r="D154" s="4" t="s">
        <v>2</v>
      </c>
      <c r="E154" s="467">
        <v>7</v>
      </c>
      <c r="F154" s="615"/>
      <c r="G154" s="13">
        <f t="shared" si="13"/>
        <v>0</v>
      </c>
      <c r="H154" s="379" t="e">
        <f t="shared" si="11"/>
        <v>#DIV/0!</v>
      </c>
      <c r="N154" s="89"/>
    </row>
    <row r="155" spans="1:14" s="31" customFormat="1" ht="54">
      <c r="A155" s="98" t="s">
        <v>347</v>
      </c>
      <c r="B155" s="598">
        <v>91876</v>
      </c>
      <c r="C155" s="33" t="s">
        <v>627</v>
      </c>
      <c r="D155" s="4" t="s">
        <v>2</v>
      </c>
      <c r="E155" s="467">
        <v>2</v>
      </c>
      <c r="F155" s="615"/>
      <c r="G155" s="13">
        <f t="shared" si="13"/>
        <v>0</v>
      </c>
      <c r="H155" s="379" t="e">
        <f t="shared" si="11"/>
        <v>#DIV/0!</v>
      </c>
      <c r="N155" s="89"/>
    </row>
    <row r="156" spans="1:14" s="31" customFormat="1" ht="36">
      <c r="A156" s="98" t="s">
        <v>379</v>
      </c>
      <c r="B156" s="598">
        <v>93013</v>
      </c>
      <c r="C156" s="33" t="s">
        <v>628</v>
      </c>
      <c r="D156" s="4" t="s">
        <v>2</v>
      </c>
      <c r="E156" s="467">
        <v>2</v>
      </c>
      <c r="F156" s="615"/>
      <c r="G156" s="13">
        <f t="shared" si="13"/>
        <v>0</v>
      </c>
      <c r="H156" s="379" t="e">
        <f t="shared" si="11"/>
        <v>#DIV/0!</v>
      </c>
      <c r="N156" s="89"/>
    </row>
    <row r="157" spans="1:14" s="31" customFormat="1" ht="36">
      <c r="A157" s="98" t="s">
        <v>643</v>
      </c>
      <c r="B157" s="598">
        <v>93656</v>
      </c>
      <c r="C157" s="33" t="s">
        <v>629</v>
      </c>
      <c r="D157" s="4" t="s">
        <v>2</v>
      </c>
      <c r="E157" s="467">
        <v>14</v>
      </c>
      <c r="F157" s="615"/>
      <c r="G157" s="13">
        <f t="shared" si="13"/>
        <v>0</v>
      </c>
      <c r="H157" s="379" t="e">
        <f t="shared" si="11"/>
        <v>#DIV/0!</v>
      </c>
      <c r="N157" s="89"/>
    </row>
    <row r="158" spans="1:14" s="31" customFormat="1" ht="36">
      <c r="A158" s="98" t="s">
        <v>644</v>
      </c>
      <c r="B158" s="598" t="s">
        <v>161</v>
      </c>
      <c r="C158" s="33" t="s">
        <v>635</v>
      </c>
      <c r="D158" s="4" t="s">
        <v>2</v>
      </c>
      <c r="E158" s="467">
        <v>5</v>
      </c>
      <c r="F158" s="615"/>
      <c r="G158" s="13">
        <f t="shared" si="13"/>
        <v>0</v>
      </c>
      <c r="H158" s="379" t="e">
        <f t="shared" si="11"/>
        <v>#DIV/0!</v>
      </c>
      <c r="N158" s="89"/>
    </row>
    <row r="159" spans="1:14" s="31" customFormat="1" ht="36">
      <c r="A159" s="98" t="s">
        <v>645</v>
      </c>
      <c r="B159" s="598" t="s">
        <v>161</v>
      </c>
      <c r="C159" s="33" t="s">
        <v>634</v>
      </c>
      <c r="D159" s="4" t="s">
        <v>2</v>
      </c>
      <c r="E159" s="467">
        <v>14</v>
      </c>
      <c r="F159" s="615"/>
      <c r="G159" s="13">
        <f t="shared" si="13"/>
        <v>0</v>
      </c>
      <c r="H159" s="379" t="e">
        <f t="shared" si="11"/>
        <v>#DIV/0!</v>
      </c>
      <c r="N159" s="89"/>
    </row>
    <row r="160" spans="1:14" s="31" customFormat="1" ht="36">
      <c r="A160" s="98" t="s">
        <v>646</v>
      </c>
      <c r="B160" s="602" t="s">
        <v>161</v>
      </c>
      <c r="C160" s="380" t="s">
        <v>630</v>
      </c>
      <c r="D160" s="357" t="s">
        <v>17</v>
      </c>
      <c r="E160" s="509">
        <f>(2.8+3.88+2.8)*2</f>
        <v>18.96</v>
      </c>
      <c r="F160" s="614"/>
      <c r="G160" s="13">
        <f t="shared" si="13"/>
        <v>0</v>
      </c>
      <c r="H160" s="379" t="e">
        <f t="shared" si="11"/>
        <v>#DIV/0!</v>
      </c>
      <c r="N160" s="89"/>
    </row>
    <row r="161" spans="1:56" s="31" customFormat="1" ht="54.75" thickBot="1">
      <c r="A161" s="98" t="s">
        <v>807</v>
      </c>
      <c r="B161" s="602" t="s">
        <v>161</v>
      </c>
      <c r="C161" s="283" t="s">
        <v>641</v>
      </c>
      <c r="D161" s="284" t="s">
        <v>2</v>
      </c>
      <c r="E161" s="496">
        <v>1</v>
      </c>
      <c r="F161" s="614"/>
      <c r="G161" s="318">
        <f>F161*E161</f>
        <v>0</v>
      </c>
      <c r="H161" s="379" t="e">
        <f t="shared" si="11"/>
        <v>#DIV/0!</v>
      </c>
      <c r="N161" s="89"/>
    </row>
    <row r="162" spans="1:56" s="31" customFormat="1" ht="18.75" thickBot="1">
      <c r="A162" s="368">
        <v>13</v>
      </c>
      <c r="B162" s="594"/>
      <c r="C162" s="373" t="s">
        <v>11</v>
      </c>
      <c r="D162" s="370"/>
      <c r="E162" s="371"/>
      <c r="F162" s="611"/>
      <c r="G162" s="374">
        <f>SUM(G163:G172)</f>
        <v>0</v>
      </c>
      <c r="H162" s="379" t="e">
        <f t="shared" si="11"/>
        <v>#DIV/0!</v>
      </c>
      <c r="K162" s="89"/>
      <c r="N162" s="89"/>
    </row>
    <row r="163" spans="1:56" s="31" customFormat="1" ht="90">
      <c r="A163" s="316" t="s">
        <v>220</v>
      </c>
      <c r="B163" s="603" t="s">
        <v>809</v>
      </c>
      <c r="C163" s="607" t="str">
        <f>UPPER("Fornecimento e Instalação de tubulação em cobre p/ interligação do condensador ao evaporador, inclusive isolamento, alimentação elétrica, conexões e fixações, p/ condicionadores de ar split system até 48.000 BTU.")</f>
        <v>FORNECIMENTO E INSTALAÇÃO DE TUBULAÇÃO EM COBRE P/ INTERLIGAÇÃO DO CONDENSADOR AO EVAPORADOR, INCLUSIVE ISOLAMENTO, ALIMENTAÇÃO ELÉTRICA, CONEXÕES E FIXAÇÕES, P/ CONDICIONADORES DE AR SPLIT SYSTEM ATÉ 48.000 BTU.</v>
      </c>
      <c r="D163" s="358" t="s">
        <v>17</v>
      </c>
      <c r="E163" s="514">
        <v>38.85</v>
      </c>
      <c r="F163" s="617"/>
      <c r="G163" s="317">
        <f>F163*E163</f>
        <v>0</v>
      </c>
      <c r="H163" s="379" t="e">
        <f t="shared" si="11"/>
        <v>#DIV/0!</v>
      </c>
      <c r="J163" s="282"/>
      <c r="K163" s="89"/>
      <c r="N163" s="89"/>
    </row>
    <row r="164" spans="1:56" s="31" customFormat="1" ht="54">
      <c r="A164" s="98" t="s">
        <v>221</v>
      </c>
      <c r="B164" s="604" t="s">
        <v>651</v>
      </c>
      <c r="C164" s="33" t="str">
        <f>UPPER("Ar Condicionado Split Samsung Digital OU SIMILAR COM SELO PROCEL A, SERPENTINA DE COBRE, Inverter 12000 BTU/h ")</f>
        <v xml:space="preserve">AR CONDICIONADO SPLIT SAMSUNG DIGITAL OU SIMILAR COM SELO PROCEL A, SERPENTINA DE COBRE, INVERTER 12000 BTU/H </v>
      </c>
      <c r="D164" s="4" t="s">
        <v>2</v>
      </c>
      <c r="E164" s="467">
        <v>2</v>
      </c>
      <c r="F164" s="614"/>
      <c r="G164" s="13">
        <f t="shared" ref="G164:G172" si="14">F164*E164</f>
        <v>0</v>
      </c>
      <c r="H164" s="379" t="e">
        <f t="shared" ref="H164:H193" si="15">G164/$G$203</f>
        <v>#DIV/0!</v>
      </c>
      <c r="K164" s="89"/>
      <c r="N164" s="89"/>
    </row>
    <row r="165" spans="1:56" s="31" customFormat="1" ht="54">
      <c r="A165" s="316" t="s">
        <v>222</v>
      </c>
      <c r="B165" s="604" t="s">
        <v>651</v>
      </c>
      <c r="C165" s="33" t="str">
        <f>UPPER("Ar Condicionado Split Samsung Digital OU SIMILAR COM SELO PROCEL A, SERPENTINA DE COBRE, Inverter 18000 BTU/h ")</f>
        <v xml:space="preserve">AR CONDICIONADO SPLIT SAMSUNG DIGITAL OU SIMILAR COM SELO PROCEL A, SERPENTINA DE COBRE, INVERTER 18000 BTU/H </v>
      </c>
      <c r="D165" s="4" t="s">
        <v>2</v>
      </c>
      <c r="E165" s="467">
        <v>2</v>
      </c>
      <c r="F165" s="614"/>
      <c r="G165" s="13">
        <f t="shared" si="14"/>
        <v>0</v>
      </c>
      <c r="H165" s="379" t="e">
        <f t="shared" si="15"/>
        <v>#DIV/0!</v>
      </c>
      <c r="K165" s="89"/>
      <c r="N165" s="89"/>
    </row>
    <row r="166" spans="1:56" s="31" customFormat="1" ht="36">
      <c r="A166" s="98" t="s">
        <v>223</v>
      </c>
      <c r="B166" s="604" t="s">
        <v>786</v>
      </c>
      <c r="C166" s="33" t="s">
        <v>647</v>
      </c>
      <c r="D166" s="4" t="s">
        <v>2</v>
      </c>
      <c r="E166" s="467">
        <v>1</v>
      </c>
      <c r="F166" s="614"/>
      <c r="G166" s="13">
        <f t="shared" si="14"/>
        <v>0</v>
      </c>
      <c r="H166" s="379" t="e">
        <f t="shared" si="15"/>
        <v>#DIV/0!</v>
      </c>
      <c r="K166" s="89"/>
      <c r="N166" s="89"/>
    </row>
    <row r="167" spans="1:56" s="31" customFormat="1" ht="18">
      <c r="A167" s="316" t="s">
        <v>348</v>
      </c>
      <c r="B167" s="604" t="s">
        <v>653</v>
      </c>
      <c r="C167" s="33" t="s">
        <v>652</v>
      </c>
      <c r="D167" s="4" t="s">
        <v>2</v>
      </c>
      <c r="E167" s="467">
        <f>E164+E165</f>
        <v>4</v>
      </c>
      <c r="F167" s="614"/>
      <c r="G167" s="13">
        <f t="shared" si="14"/>
        <v>0</v>
      </c>
      <c r="H167" s="379" t="e">
        <f t="shared" si="15"/>
        <v>#DIV/0!</v>
      </c>
      <c r="K167" s="89"/>
      <c r="N167" s="89"/>
    </row>
    <row r="168" spans="1:56" s="31" customFormat="1" ht="18">
      <c r="A168" s="98" t="s">
        <v>349</v>
      </c>
      <c r="B168" s="604" t="s">
        <v>655</v>
      </c>
      <c r="C168" s="33" t="s">
        <v>654</v>
      </c>
      <c r="D168" s="4" t="s">
        <v>2</v>
      </c>
      <c r="E168" s="467">
        <f>E166</f>
        <v>1</v>
      </c>
      <c r="F168" s="614"/>
      <c r="G168" s="13">
        <f t="shared" si="14"/>
        <v>0</v>
      </c>
      <c r="H168" s="379" t="e">
        <f t="shared" si="15"/>
        <v>#DIV/0!</v>
      </c>
      <c r="K168" s="89"/>
      <c r="N168" s="89"/>
    </row>
    <row r="169" spans="1:56" s="31" customFormat="1" ht="18">
      <c r="A169" s="316" t="s">
        <v>224</v>
      </c>
      <c r="B169" s="604" t="s">
        <v>161</v>
      </c>
      <c r="C169" s="33" t="s">
        <v>648</v>
      </c>
      <c r="D169" s="4" t="s">
        <v>17</v>
      </c>
      <c r="E169" s="467">
        <v>38.130000000000003</v>
      </c>
      <c r="F169" s="614"/>
      <c r="G169" s="13">
        <f t="shared" si="14"/>
        <v>0</v>
      </c>
      <c r="H169" s="379" t="e">
        <f t="shared" si="15"/>
        <v>#DIV/0!</v>
      </c>
      <c r="K169" s="89"/>
      <c r="N169" s="89"/>
    </row>
    <row r="170" spans="1:56" s="31" customFormat="1" ht="18">
      <c r="A170" s="98" t="s">
        <v>671</v>
      </c>
      <c r="B170" s="604">
        <v>90447</v>
      </c>
      <c r="C170" s="33" t="s">
        <v>650</v>
      </c>
      <c r="D170" s="4" t="s">
        <v>17</v>
      </c>
      <c r="E170" s="467">
        <v>12.5</v>
      </c>
      <c r="F170" s="614"/>
      <c r="G170" s="13">
        <f t="shared" si="14"/>
        <v>0</v>
      </c>
      <c r="H170" s="379" t="e">
        <f t="shared" si="15"/>
        <v>#DIV/0!</v>
      </c>
      <c r="K170" s="89"/>
      <c r="N170" s="89"/>
    </row>
    <row r="171" spans="1:56" s="31" customFormat="1" ht="18">
      <c r="A171" s="316" t="s">
        <v>672</v>
      </c>
      <c r="B171" s="598" t="s">
        <v>787</v>
      </c>
      <c r="C171" s="33" t="s">
        <v>649</v>
      </c>
      <c r="D171" s="4" t="s">
        <v>17</v>
      </c>
      <c r="E171" s="467">
        <v>25.63</v>
      </c>
      <c r="F171" s="615"/>
      <c r="G171" s="13">
        <f t="shared" si="14"/>
        <v>0</v>
      </c>
      <c r="H171" s="379" t="e">
        <f t="shared" si="15"/>
        <v>#DIV/0!</v>
      </c>
      <c r="K171" s="89"/>
      <c r="N171" s="89"/>
    </row>
    <row r="172" spans="1:56" s="31" customFormat="1" ht="18.75" thickBot="1">
      <c r="A172" s="98" t="s">
        <v>673</v>
      </c>
      <c r="B172" s="602" t="s">
        <v>810</v>
      </c>
      <c r="C172" s="33" t="s">
        <v>811</v>
      </c>
      <c r="D172" s="4" t="s">
        <v>17</v>
      </c>
      <c r="E172" s="467">
        <f>E170</f>
        <v>12.5</v>
      </c>
      <c r="F172" s="613"/>
      <c r="G172" s="13">
        <f t="shared" si="14"/>
        <v>0</v>
      </c>
      <c r="H172" s="379" t="e">
        <f t="shared" si="15"/>
        <v>#DIV/0!</v>
      </c>
      <c r="K172" s="89"/>
      <c r="N172" s="89"/>
    </row>
    <row r="173" spans="1:56" s="31" customFormat="1" ht="18.75" thickBot="1">
      <c r="A173" s="368">
        <v>14</v>
      </c>
      <c r="B173" s="594"/>
      <c r="C173" s="373" t="s">
        <v>237</v>
      </c>
      <c r="D173" s="370"/>
      <c r="E173" s="371"/>
      <c r="F173" s="611"/>
      <c r="G173" s="374">
        <f>SUM(G174:G176)</f>
        <v>0</v>
      </c>
      <c r="H173" s="379" t="e">
        <f t="shared" si="15"/>
        <v>#DIV/0!</v>
      </c>
      <c r="I173" s="36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</row>
    <row r="174" spans="1:56" s="31" customFormat="1" ht="36" customHeight="1">
      <c r="A174" s="98" t="s">
        <v>225</v>
      </c>
      <c r="B174" s="598" t="s">
        <v>604</v>
      </c>
      <c r="C174" s="33" t="str">
        <f>UPPER("Manta de alumínio, subcobertura de telhado, Freshfoil da Tégula ou similar")</f>
        <v>MANTA DE ALUMÍNIO, SUBCOBERTURA DE TELHADO, FRESHFOIL DA TÉGULA OU SIMILAR</v>
      </c>
      <c r="D174" s="4" t="s">
        <v>1</v>
      </c>
      <c r="E174" s="286">
        <v>60</v>
      </c>
      <c r="F174" s="608"/>
      <c r="G174" s="13">
        <f>F174*E174</f>
        <v>0</v>
      </c>
      <c r="H174" s="379" t="e">
        <f t="shared" si="15"/>
        <v>#DIV/0!</v>
      </c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</row>
    <row r="175" spans="1:56" s="31" customFormat="1" ht="36" customHeight="1">
      <c r="A175" s="98" t="s">
        <v>694</v>
      </c>
      <c r="B175" s="598">
        <v>94440</v>
      </c>
      <c r="C175" s="33" t="s">
        <v>356</v>
      </c>
      <c r="D175" s="4" t="s">
        <v>1</v>
      </c>
      <c r="E175" s="286">
        <v>10</v>
      </c>
      <c r="F175" s="608"/>
      <c r="G175" s="13">
        <f>F175*E175</f>
        <v>0</v>
      </c>
      <c r="H175" s="379" t="e">
        <f t="shared" si="15"/>
        <v>#DIV/0!</v>
      </c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</row>
    <row r="176" spans="1:56" s="31" customFormat="1" ht="36" customHeight="1" thickBot="1">
      <c r="A176" s="375" t="s">
        <v>695</v>
      </c>
      <c r="B176" s="602">
        <v>92539</v>
      </c>
      <c r="C176" s="283" t="s">
        <v>696</v>
      </c>
      <c r="D176" s="284" t="s">
        <v>1</v>
      </c>
      <c r="E176" s="322">
        <v>10</v>
      </c>
      <c r="F176" s="613"/>
      <c r="G176" s="318">
        <f>F176*E176</f>
        <v>0</v>
      </c>
      <c r="H176" s="379" t="e">
        <f t="shared" si="15"/>
        <v>#DIV/0!</v>
      </c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</row>
    <row r="177" spans="1:56" s="31" customFormat="1" ht="18.75" thickBot="1">
      <c r="A177" s="368">
        <v>15</v>
      </c>
      <c r="B177" s="594"/>
      <c r="C177" s="373" t="s">
        <v>319</v>
      </c>
      <c r="D177" s="370"/>
      <c r="E177" s="371"/>
      <c r="F177" s="618"/>
      <c r="G177" s="374">
        <f>SUM(G178:G186)</f>
        <v>0</v>
      </c>
      <c r="H177" s="379" t="e">
        <f t="shared" si="15"/>
        <v>#DIV/0!</v>
      </c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</row>
    <row r="178" spans="1:56" s="31" customFormat="1" ht="36">
      <c r="A178" s="316" t="s">
        <v>674</v>
      </c>
      <c r="B178" s="605" t="s">
        <v>161</v>
      </c>
      <c r="C178" s="380" t="s">
        <v>317</v>
      </c>
      <c r="D178" s="314" t="s">
        <v>17</v>
      </c>
      <c r="E178" s="381">
        <f>E180*3</f>
        <v>33</v>
      </c>
      <c r="F178" s="616"/>
      <c r="G178" s="317">
        <f>F178*E178</f>
        <v>0</v>
      </c>
      <c r="H178" s="379" t="e">
        <f t="shared" si="15"/>
        <v>#DIV/0!</v>
      </c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</row>
    <row r="179" spans="1:56" s="31" customFormat="1" ht="18">
      <c r="A179" s="316" t="s">
        <v>675</v>
      </c>
      <c r="B179" s="598" t="s">
        <v>788</v>
      </c>
      <c r="C179" s="33" t="s">
        <v>692</v>
      </c>
      <c r="D179" s="4" t="s">
        <v>17</v>
      </c>
      <c r="E179" s="11">
        <v>30</v>
      </c>
      <c r="F179" s="615"/>
      <c r="G179" s="317">
        <f t="shared" ref="G179:G186" si="16">F179*E179</f>
        <v>0</v>
      </c>
      <c r="H179" s="379" t="e">
        <f t="shared" si="15"/>
        <v>#DIV/0!</v>
      </c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</row>
    <row r="180" spans="1:56" s="31" customFormat="1" ht="36">
      <c r="A180" s="316" t="s">
        <v>676</v>
      </c>
      <c r="B180" s="598" t="s">
        <v>161</v>
      </c>
      <c r="C180" s="32" t="str">
        <f>COMPOSIÇÕES!D198</f>
        <v>TOMADA DUPLA PARA LÓGICA LINHA CONDULETE TOP TIGRE OU SIMILAR - FORNECIMENTO E INSTALAÇÃO</v>
      </c>
      <c r="D180" s="4" t="s">
        <v>2</v>
      </c>
      <c r="E180" s="11">
        <v>11</v>
      </c>
      <c r="F180" s="616"/>
      <c r="G180" s="317">
        <f t="shared" si="16"/>
        <v>0</v>
      </c>
      <c r="H180" s="379" t="e">
        <f t="shared" si="15"/>
        <v>#DIV/0!</v>
      </c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</row>
    <row r="181" spans="1:56" s="31" customFormat="1" ht="18">
      <c r="A181" s="316" t="s">
        <v>677</v>
      </c>
      <c r="B181" s="596" t="s">
        <v>263</v>
      </c>
      <c r="C181" s="32" t="s">
        <v>170</v>
      </c>
      <c r="D181" s="4" t="s">
        <v>17</v>
      </c>
      <c r="E181" s="11">
        <v>305</v>
      </c>
      <c r="F181" s="616"/>
      <c r="G181" s="317">
        <f t="shared" si="16"/>
        <v>0</v>
      </c>
      <c r="H181" s="379" t="e">
        <f t="shared" si="15"/>
        <v>#DIV/0!</v>
      </c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</row>
    <row r="182" spans="1:56" s="31" customFormat="1" ht="18">
      <c r="A182" s="316" t="s">
        <v>718</v>
      </c>
      <c r="B182" s="596" t="s">
        <v>724</v>
      </c>
      <c r="C182" s="32" t="s">
        <v>725</v>
      </c>
      <c r="D182" s="4" t="s">
        <v>17</v>
      </c>
      <c r="E182" s="11">
        <v>30</v>
      </c>
      <c r="F182" s="616"/>
      <c r="G182" s="317">
        <f t="shared" si="16"/>
        <v>0</v>
      </c>
      <c r="H182" s="379" t="e">
        <f t="shared" si="15"/>
        <v>#DIV/0!</v>
      </c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</row>
    <row r="183" spans="1:56" s="31" customFormat="1" ht="36">
      <c r="A183" s="316" t="s">
        <v>719</v>
      </c>
      <c r="B183" s="596" t="s">
        <v>721</v>
      </c>
      <c r="C183" s="32" t="str">
        <f>UPPER("Fornecimento e instalação de mini rack de parede 19 x 8u x 450mm")</f>
        <v>FORNECIMENTO E INSTALAÇÃO DE MINI RACK DE PAREDE 19 X 8U X 450MM</v>
      </c>
      <c r="D183" s="4" t="s">
        <v>2</v>
      </c>
      <c r="E183" s="11">
        <v>1</v>
      </c>
      <c r="F183" s="616"/>
      <c r="G183" s="317">
        <f t="shared" si="16"/>
        <v>0</v>
      </c>
      <c r="H183" s="379" t="e">
        <f t="shared" si="15"/>
        <v>#DIV/0!</v>
      </c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</row>
    <row r="184" spans="1:56" s="31" customFormat="1" ht="36">
      <c r="A184" s="316" t="s">
        <v>678</v>
      </c>
      <c r="B184" s="601" t="s">
        <v>723</v>
      </c>
      <c r="C184" s="32" t="str">
        <f>UPPER("Fornecimento e instalação de voice panel 30 portas cat 3")</f>
        <v>FORNECIMENTO E INSTALAÇÃO DE VOICE PANEL 30 PORTAS CAT 3</v>
      </c>
      <c r="D184" s="4" t="s">
        <v>2</v>
      </c>
      <c r="E184" s="11">
        <v>1</v>
      </c>
      <c r="F184" s="616"/>
      <c r="G184" s="317">
        <f t="shared" si="16"/>
        <v>0</v>
      </c>
      <c r="H184" s="379" t="e">
        <f t="shared" si="15"/>
        <v>#DIV/0!</v>
      </c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</row>
    <row r="185" spans="1:56" s="31" customFormat="1" ht="36">
      <c r="A185" s="316" t="s">
        <v>720</v>
      </c>
      <c r="B185" s="601" t="s">
        <v>722</v>
      </c>
      <c r="C185" s="32" t="str">
        <f>UPPER("Fornecimento e instalação de path panel com 24 portas cat.6")</f>
        <v>FORNECIMENTO E INSTALAÇÃO DE PATH PANEL COM 24 PORTAS CAT.6</v>
      </c>
      <c r="D185" s="4" t="s">
        <v>2</v>
      </c>
      <c r="E185" s="11">
        <v>1</v>
      </c>
      <c r="F185" s="616"/>
      <c r="G185" s="317">
        <f t="shared" si="16"/>
        <v>0</v>
      </c>
      <c r="H185" s="379" t="e">
        <f t="shared" si="15"/>
        <v>#DIV/0!</v>
      </c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</row>
    <row r="186" spans="1:56" s="31" customFormat="1" ht="18" customHeight="1" thickBot="1">
      <c r="A186" s="316" t="s">
        <v>720</v>
      </c>
      <c r="B186" s="598">
        <v>91167</v>
      </c>
      <c r="C186" s="283" t="s">
        <v>693</v>
      </c>
      <c r="D186" s="4" t="s">
        <v>17</v>
      </c>
      <c r="E186" s="285">
        <f>E179</f>
        <v>30</v>
      </c>
      <c r="F186" s="615"/>
      <c r="G186" s="317">
        <f t="shared" si="16"/>
        <v>0</v>
      </c>
      <c r="H186" s="379" t="e">
        <f t="shared" si="15"/>
        <v>#DIV/0!</v>
      </c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</row>
    <row r="187" spans="1:56" s="31" customFormat="1" ht="18.75" thickBot="1">
      <c r="A187" s="368">
        <v>16</v>
      </c>
      <c r="B187" s="594"/>
      <c r="C187" s="373" t="s">
        <v>710</v>
      </c>
      <c r="D187" s="370"/>
      <c r="E187" s="567"/>
      <c r="F187" s="619"/>
      <c r="G187" s="568">
        <f>SUM(G188:G192)</f>
        <v>0</v>
      </c>
      <c r="H187" s="379" t="e">
        <f t="shared" si="15"/>
        <v>#DIV/0!</v>
      </c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</row>
    <row r="188" spans="1:56" s="31" customFormat="1" ht="55.9" customHeight="1">
      <c r="A188" s="98" t="s">
        <v>679</v>
      </c>
      <c r="B188" s="598" t="s">
        <v>789</v>
      </c>
      <c r="C188" s="334" t="s">
        <v>705</v>
      </c>
      <c r="D188" s="344" t="s">
        <v>1</v>
      </c>
      <c r="E188" s="569">
        <v>20</v>
      </c>
      <c r="F188" s="620"/>
      <c r="G188" s="570">
        <f>F188*E188</f>
        <v>0</v>
      </c>
      <c r="H188" s="379" t="e">
        <f t="shared" si="15"/>
        <v>#DIV/0!</v>
      </c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</row>
    <row r="189" spans="1:56" s="31" customFormat="1" ht="72">
      <c r="A189" s="98" t="s">
        <v>701</v>
      </c>
      <c r="B189" s="333" t="s">
        <v>790</v>
      </c>
      <c r="C189" s="32" t="s">
        <v>707</v>
      </c>
      <c r="D189" s="344" t="s">
        <v>1</v>
      </c>
      <c r="E189" s="11">
        <f>E188</f>
        <v>20</v>
      </c>
      <c r="F189" s="608"/>
      <c r="G189" s="13">
        <f>F189*E189</f>
        <v>0</v>
      </c>
      <c r="H189" s="379" t="e">
        <f t="shared" si="15"/>
        <v>#DIV/0!</v>
      </c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</row>
    <row r="190" spans="1:56" s="31" customFormat="1" ht="36">
      <c r="A190" s="98" t="s">
        <v>702</v>
      </c>
      <c r="B190" s="333" t="s">
        <v>708</v>
      </c>
      <c r="C190" s="32" t="s">
        <v>709</v>
      </c>
      <c r="D190" s="566" t="s">
        <v>1</v>
      </c>
      <c r="E190" s="11">
        <f>(11.43+0.23*7)*3.05+3.28*3.05</f>
        <v>49.775999999999996</v>
      </c>
      <c r="F190" s="608"/>
      <c r="G190" s="13">
        <f>F190*E190</f>
        <v>0</v>
      </c>
      <c r="H190" s="379" t="e">
        <f t="shared" si="15"/>
        <v>#DIV/0!</v>
      </c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</row>
    <row r="191" spans="1:56" s="31" customFormat="1" ht="36">
      <c r="A191" s="98" t="s">
        <v>703</v>
      </c>
      <c r="B191" s="598" t="s">
        <v>514</v>
      </c>
      <c r="C191" s="283" t="str">
        <f>UPPER("Emassamento de superfície, com aplicação de 02 demãos de massa acrílica, lixamento e retoques")</f>
        <v>EMASSAMENTO DE SUPERFÍCIE, COM APLICAÇÃO DE 02 DEMÃOS DE MASSA ACRÍLICA, LIXAMENTO E RETOQUES</v>
      </c>
      <c r="D191" s="284" t="s">
        <v>1</v>
      </c>
      <c r="E191" s="322">
        <f>E189</f>
        <v>20</v>
      </c>
      <c r="F191" s="614"/>
      <c r="G191" s="13">
        <f>F191*E191</f>
        <v>0</v>
      </c>
      <c r="H191" s="379" t="e">
        <f t="shared" si="15"/>
        <v>#DIV/0!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</row>
    <row r="192" spans="1:56" s="31" customFormat="1" ht="36.75" thickBot="1">
      <c r="A192" s="98" t="s">
        <v>704</v>
      </c>
      <c r="B192" s="598" t="s">
        <v>772</v>
      </c>
      <c r="C192" s="319" t="s">
        <v>513</v>
      </c>
      <c r="D192" s="284" t="s">
        <v>1</v>
      </c>
      <c r="E192" s="322">
        <f>E190+E189</f>
        <v>69.775999999999996</v>
      </c>
      <c r="F192" s="613"/>
      <c r="G192" s="13">
        <f>F192*E192</f>
        <v>0</v>
      </c>
      <c r="H192" s="379" t="e">
        <f t="shared" si="15"/>
        <v>#DIV/0!</v>
      </c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</row>
    <row r="193" spans="1:14" s="31" customFormat="1" ht="18.75" thickBot="1">
      <c r="A193" s="368">
        <v>17</v>
      </c>
      <c r="B193" s="594"/>
      <c r="C193" s="373" t="s">
        <v>22</v>
      </c>
      <c r="D193" s="370"/>
      <c r="E193" s="371"/>
      <c r="F193" s="611"/>
      <c r="G193" s="374">
        <f>SUM(G194:G200)</f>
        <v>0</v>
      </c>
      <c r="H193" s="379" t="e">
        <f t="shared" si="15"/>
        <v>#DIV/0!</v>
      </c>
      <c r="J193" s="90"/>
      <c r="K193" s="89"/>
      <c r="L193" s="90"/>
      <c r="M193" s="93"/>
      <c r="N193" s="89"/>
    </row>
    <row r="194" spans="1:14" s="31" customFormat="1" ht="18">
      <c r="A194" s="375" t="s">
        <v>165</v>
      </c>
      <c r="B194" s="601">
        <v>85334</v>
      </c>
      <c r="C194" s="343" t="s">
        <v>261</v>
      </c>
      <c r="D194" s="4" t="s">
        <v>1</v>
      </c>
      <c r="E194" s="11">
        <f>E13</f>
        <v>7.48</v>
      </c>
      <c r="F194" s="621"/>
      <c r="G194" s="317">
        <f t="shared" ref="G194:G200" si="17">F194*E194</f>
        <v>0</v>
      </c>
      <c r="H194" s="379" t="e">
        <f t="shared" ref="H194:H203" si="18">G194/$G$203</f>
        <v>#DIV/0!</v>
      </c>
      <c r="N194" s="89"/>
    </row>
    <row r="195" spans="1:14" s="31" customFormat="1" ht="36">
      <c r="A195" s="375" t="s">
        <v>166</v>
      </c>
      <c r="B195" s="592">
        <v>73467</v>
      </c>
      <c r="C195" s="320" t="s">
        <v>241</v>
      </c>
      <c r="D195" s="314" t="s">
        <v>239</v>
      </c>
      <c r="E195" s="315">
        <v>16</v>
      </c>
      <c r="F195" s="608"/>
      <c r="G195" s="317">
        <f t="shared" si="17"/>
        <v>0</v>
      </c>
      <c r="H195" s="379" t="e">
        <f t="shared" si="18"/>
        <v>#DIV/0!</v>
      </c>
      <c r="N195" s="89"/>
    </row>
    <row r="196" spans="1:14" s="31" customFormat="1" ht="18">
      <c r="A196" s="375" t="s">
        <v>270</v>
      </c>
      <c r="B196" s="592">
        <v>88316</v>
      </c>
      <c r="C196" s="320" t="s">
        <v>240</v>
      </c>
      <c r="D196" s="314" t="s">
        <v>239</v>
      </c>
      <c r="E196" s="315">
        <f>E195*2</f>
        <v>32</v>
      </c>
      <c r="F196" s="608"/>
      <c r="G196" s="317">
        <f t="shared" si="17"/>
        <v>0</v>
      </c>
      <c r="H196" s="379" t="e">
        <f t="shared" si="18"/>
        <v>#DIV/0!</v>
      </c>
      <c r="N196" s="89"/>
    </row>
    <row r="197" spans="1:14" s="31" customFormat="1" ht="18">
      <c r="A197" s="375" t="s">
        <v>271</v>
      </c>
      <c r="B197" s="592">
        <v>9537</v>
      </c>
      <c r="C197" s="320" t="s">
        <v>23</v>
      </c>
      <c r="D197" s="314" t="s">
        <v>1</v>
      </c>
      <c r="E197" s="315">
        <f>QUANTITATIVOS!F65</f>
        <v>97.449999999999989</v>
      </c>
      <c r="F197" s="608"/>
      <c r="G197" s="317">
        <f t="shared" si="17"/>
        <v>0</v>
      </c>
      <c r="H197" s="379" t="e">
        <f t="shared" si="18"/>
        <v>#DIV/0!</v>
      </c>
      <c r="N197" s="89"/>
    </row>
    <row r="198" spans="1:14" s="31" customFormat="1" ht="18">
      <c r="A198" s="375" t="s">
        <v>272</v>
      </c>
      <c r="B198" s="601">
        <v>88036</v>
      </c>
      <c r="C198" s="353" t="s">
        <v>259</v>
      </c>
      <c r="D198" s="4" t="s">
        <v>4</v>
      </c>
      <c r="E198" s="11">
        <v>10</v>
      </c>
      <c r="F198" s="622"/>
      <c r="G198" s="317">
        <f t="shared" si="17"/>
        <v>0</v>
      </c>
      <c r="H198" s="379" t="e">
        <f t="shared" si="18"/>
        <v>#DIV/0!</v>
      </c>
      <c r="N198" s="89"/>
    </row>
    <row r="199" spans="1:14" s="31" customFormat="1" ht="18">
      <c r="A199" s="375" t="s">
        <v>273</v>
      </c>
      <c r="B199" s="601">
        <v>72897</v>
      </c>
      <c r="C199" s="33" t="s">
        <v>262</v>
      </c>
      <c r="D199" s="4" t="s">
        <v>4</v>
      </c>
      <c r="E199" s="11">
        <v>10</v>
      </c>
      <c r="F199" s="615"/>
      <c r="G199" s="317">
        <f t="shared" si="17"/>
        <v>0</v>
      </c>
      <c r="H199" s="379" t="e">
        <f t="shared" si="18"/>
        <v>#DIV/0!</v>
      </c>
      <c r="N199" s="89"/>
    </row>
    <row r="200" spans="1:14" s="31" customFormat="1" ht="54.75" thickBot="1">
      <c r="A200" s="375" t="s">
        <v>274</v>
      </c>
      <c r="B200" s="601" t="s">
        <v>755</v>
      </c>
      <c r="C200" s="353" t="s">
        <v>260</v>
      </c>
      <c r="D200" s="354" t="s">
        <v>18</v>
      </c>
      <c r="E200" s="332">
        <f>E199*20</f>
        <v>200</v>
      </c>
      <c r="F200" s="623"/>
      <c r="G200" s="317">
        <f t="shared" si="17"/>
        <v>0</v>
      </c>
      <c r="H200" s="379" t="e">
        <f t="shared" si="18"/>
        <v>#DIV/0!</v>
      </c>
      <c r="N200" s="89"/>
    </row>
    <row r="201" spans="1:14" s="31" customFormat="1" ht="21" thickBot="1">
      <c r="A201" s="518"/>
      <c r="B201" s="519"/>
      <c r="C201" s="519"/>
      <c r="D201" s="370"/>
      <c r="E201" s="371"/>
      <c r="F201" s="624" t="s">
        <v>12</v>
      </c>
      <c r="G201" s="374">
        <f>G9+G14+G19+G45+G51+G62+G72+G79+G85+G106+G128+G135+G162+G177+G193+G173+G187</f>
        <v>0</v>
      </c>
      <c r="H201" s="379" t="e">
        <f t="shared" si="18"/>
        <v>#DIV/0!</v>
      </c>
      <c r="I201" s="376">
        <f>SUM(G9:G200)/2</f>
        <v>0</v>
      </c>
      <c r="N201" s="89"/>
    </row>
    <row r="202" spans="1:14" s="31" customFormat="1" ht="21" thickBot="1">
      <c r="A202" s="316"/>
      <c r="B202" s="289"/>
      <c r="C202" s="95"/>
      <c r="D202" s="96"/>
      <c r="E202" s="94" t="s">
        <v>747</v>
      </c>
      <c r="F202" s="625"/>
      <c r="G202" s="288">
        <f>G201*F202</f>
        <v>0</v>
      </c>
      <c r="H202" s="379" t="e">
        <f t="shared" si="18"/>
        <v>#DIV/0!</v>
      </c>
      <c r="N202" s="89"/>
    </row>
    <row r="203" spans="1:14" s="31" customFormat="1" ht="21" thickBot="1">
      <c r="A203" s="368"/>
      <c r="B203" s="521"/>
      <c r="C203" s="522"/>
      <c r="D203" s="523"/>
      <c r="E203" s="524"/>
      <c r="F203" s="520" t="s">
        <v>8</v>
      </c>
      <c r="G203" s="525">
        <f>G201+G202</f>
        <v>0</v>
      </c>
      <c r="H203" s="379" t="e">
        <f t="shared" si="18"/>
        <v>#DIV/0!</v>
      </c>
      <c r="N203" s="89"/>
    </row>
    <row r="204" spans="1:14" s="31" customFormat="1" ht="13.5">
      <c r="A204" s="517"/>
      <c r="B204" s="18"/>
      <c r="C204" s="37"/>
      <c r="D204" s="19"/>
      <c r="E204" s="20"/>
      <c r="F204" s="21"/>
      <c r="G204" s="21"/>
      <c r="H204" s="378"/>
      <c r="N204" s="89"/>
    </row>
    <row r="205" spans="1:14" s="31" customFormat="1" ht="18">
      <c r="A205" s="1"/>
      <c r="B205" s="1"/>
      <c r="C205" s="44"/>
      <c r="D205" s="3"/>
      <c r="E205" s="12"/>
      <c r="F205" s="2"/>
      <c r="G205" s="359"/>
      <c r="H205" s="378"/>
      <c r="N205" s="89"/>
    </row>
    <row r="206" spans="1:14" s="31" customFormat="1" ht="13.5">
      <c r="A206" s="18"/>
      <c r="B206" s="1"/>
      <c r="C206" s="44"/>
      <c r="D206" s="3"/>
      <c r="E206" s="12"/>
      <c r="F206" s="2"/>
      <c r="G206" s="2"/>
      <c r="H206" s="378"/>
      <c r="I206" s="36"/>
      <c r="N206" s="89"/>
    </row>
    <row r="208" spans="1:14">
      <c r="E208" s="12" t="s">
        <v>16</v>
      </c>
    </row>
  </sheetData>
  <sheetProtection password="CC27" sheet="1"/>
  <mergeCells count="10">
    <mergeCell ref="A7:C7"/>
    <mergeCell ref="D7:E7"/>
    <mergeCell ref="A1:D1"/>
    <mergeCell ref="A2:D2"/>
    <mergeCell ref="A3:E3"/>
    <mergeCell ref="A5:C5"/>
    <mergeCell ref="D5:E5"/>
    <mergeCell ref="A6:C6"/>
    <mergeCell ref="D6:E6"/>
    <mergeCell ref="D4:E4"/>
  </mergeCells>
  <printOptions horizontalCentered="1"/>
  <pageMargins left="0.39370078740157483" right="0.39370078740157483" top="0.78740157480314965" bottom="0.59055118110236227" header="0.51181102362204722" footer="0.51181102362204722"/>
  <pageSetup paperSize="9" scale="58" orientation="portrait" r:id="rId1"/>
  <headerFooter alignWithMargins="0">
    <oddFooter>&amp;CPágina &amp;P de &amp;N&amp;RCoordenação de Orçamento e Planejamento 
Eng. Civil Inácio Alves
CREA/BA: 25.577-D</oddFooter>
  </headerFooter>
  <rowBreaks count="5" manualBreakCount="5">
    <brk id="50" max="7" man="1"/>
    <brk id="84" max="7" man="1"/>
    <brk id="124" max="7" man="1"/>
    <brk id="159" max="7" man="1"/>
    <brk id="192" max="7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438721" r:id="rId4">
          <objectPr defaultSize="0" autoPict="0" r:id="rId5">
            <anchor moveWithCells="1" sizeWithCells="1">
              <from>
                <xdr:col>6</xdr:col>
                <xdr:colOff>466725</xdr:colOff>
                <xdr:row>7</xdr:row>
                <xdr:rowOff>0</xdr:rowOff>
              </from>
              <to>
                <xdr:col>7</xdr:col>
                <xdr:colOff>0</xdr:colOff>
                <xdr:row>7</xdr:row>
                <xdr:rowOff>0</xdr:rowOff>
              </to>
            </anchor>
          </objectPr>
        </oleObject>
      </mc:Choice>
      <mc:Fallback>
        <oleObject progId="Word.Picture.8" shapeId="14387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91"/>
  <sheetViews>
    <sheetView topLeftCell="C43" zoomScaleNormal="100" workbookViewId="0">
      <selection activeCell="F65" sqref="F65"/>
    </sheetView>
  </sheetViews>
  <sheetFormatPr defaultRowHeight="12.75"/>
  <cols>
    <col min="1" max="1" width="19.5703125" style="87" hidden="1" customWidth="1"/>
    <col min="2" max="2" width="0" style="87" hidden="1" customWidth="1"/>
    <col min="3" max="3" width="34.28515625" style="385" customWidth="1"/>
    <col min="4" max="4" width="33.42578125" style="385" customWidth="1"/>
    <col min="5" max="5" width="30.28515625" style="385" customWidth="1"/>
    <col min="6" max="6" width="33" style="386" bestFit="1" customWidth="1"/>
    <col min="7" max="7" width="18.7109375" style="386" customWidth="1"/>
    <col min="8" max="8" width="33" style="386" bestFit="1" customWidth="1"/>
    <col min="9" max="9" width="13.5703125" style="386" customWidth="1"/>
    <col min="10" max="11" width="18.7109375" style="386" customWidth="1"/>
    <col min="12" max="12" width="22" style="386" bestFit="1" customWidth="1"/>
    <col min="13" max="13" width="28.42578125" style="386" customWidth="1"/>
    <col min="14" max="14" width="22.140625" style="386" bestFit="1" customWidth="1"/>
    <col min="15" max="15" width="29.42578125" style="386" customWidth="1"/>
    <col min="16" max="17" width="26.5703125" style="386" customWidth="1"/>
    <col min="18" max="18" width="20.5703125" style="386" bestFit="1" customWidth="1"/>
    <col min="19" max="19" width="34.28515625" style="386" bestFit="1" customWidth="1"/>
    <col min="20" max="20" width="34.28515625" style="386" customWidth="1"/>
    <col min="21" max="21" width="28.28515625" style="87" customWidth="1"/>
    <col min="22" max="22" width="14.85546875" style="386" bestFit="1" customWidth="1"/>
    <col min="23" max="23" width="17.28515625" style="386" customWidth="1"/>
    <col min="24" max="24" width="22.28515625" style="87" bestFit="1" customWidth="1"/>
    <col min="25" max="25" width="24" style="87" customWidth="1"/>
    <col min="26" max="26" width="25.140625" style="386" customWidth="1"/>
    <col min="27" max="27" width="18.85546875" style="386" customWidth="1"/>
    <col min="28" max="28" width="13.140625" style="87" customWidth="1"/>
    <col min="29" max="29" width="0.140625" style="386" customWidth="1"/>
    <col min="30" max="30" width="11.7109375" style="386" customWidth="1"/>
    <col min="31" max="31" width="3.85546875" style="386" customWidth="1"/>
    <col min="32" max="32" width="4.7109375" style="87" customWidth="1"/>
    <col min="33" max="33" width="9" style="87" customWidth="1"/>
    <col min="34" max="34" width="6.28515625" style="87" customWidth="1"/>
    <col min="35" max="35" width="12.85546875" style="87" customWidth="1"/>
    <col min="36" max="36" width="9.140625" style="87" customWidth="1"/>
    <col min="37" max="16384" width="9.140625" style="87"/>
  </cols>
  <sheetData>
    <row r="4" spans="1:32">
      <c r="F4" s="437"/>
      <c r="G4" s="437"/>
      <c r="H4" s="437" t="s">
        <v>428</v>
      </c>
      <c r="I4" s="437" t="s">
        <v>466</v>
      </c>
      <c r="J4" s="437"/>
      <c r="K4" s="437"/>
      <c r="L4" s="386" t="s">
        <v>467</v>
      </c>
    </row>
    <row r="5" spans="1:32">
      <c r="C5" s="386" t="s">
        <v>463</v>
      </c>
      <c r="D5" s="386" t="s">
        <v>464</v>
      </c>
      <c r="E5" s="386" t="s">
        <v>465</v>
      </c>
      <c r="F5" s="440"/>
      <c r="G5" s="437"/>
      <c r="H5" s="398" t="s">
        <v>415</v>
      </c>
      <c r="I5" s="437">
        <f>0.8*2.1+2*1*1.7</f>
        <v>5.08</v>
      </c>
      <c r="J5" s="437"/>
      <c r="K5" s="437"/>
      <c r="L5" s="437"/>
    </row>
    <row r="6" spans="1:32">
      <c r="C6" s="398" t="s">
        <v>415</v>
      </c>
      <c r="D6" s="385">
        <f>2*0.8*2.1+2*1*1.7+2*1*1.7</f>
        <v>10.16</v>
      </c>
      <c r="E6" s="385">
        <f>D6</f>
        <v>10.16</v>
      </c>
      <c r="F6" s="437"/>
      <c r="G6" s="437"/>
      <c r="H6" s="398" t="s">
        <v>416</v>
      </c>
      <c r="I6" s="437">
        <f>0.9*2.1+3*0.6*2.1</f>
        <v>5.67</v>
      </c>
      <c r="J6" s="437"/>
      <c r="K6" s="437"/>
      <c r="L6" s="437"/>
    </row>
    <row r="7" spans="1:32">
      <c r="A7" s="384" t="s">
        <v>392</v>
      </c>
      <c r="C7" s="398" t="s">
        <v>416</v>
      </c>
      <c r="F7" s="437"/>
      <c r="G7" s="437"/>
      <c r="H7" s="398" t="s">
        <v>417</v>
      </c>
      <c r="I7" s="437">
        <f>0.9*2.1</f>
        <v>1.8900000000000001</v>
      </c>
      <c r="J7" s="437"/>
      <c r="K7" s="437"/>
      <c r="L7" s="437"/>
    </row>
    <row r="8" spans="1:32" ht="15.75">
      <c r="A8" s="384"/>
      <c r="C8" s="398" t="s">
        <v>417</v>
      </c>
      <c r="D8" s="436"/>
      <c r="F8" s="437"/>
      <c r="G8" s="437"/>
      <c r="H8" s="398" t="s">
        <v>418</v>
      </c>
      <c r="I8" s="437">
        <f>0.6*2.1</f>
        <v>1.26</v>
      </c>
      <c r="J8" s="437"/>
      <c r="K8" s="437"/>
      <c r="L8" s="437"/>
      <c r="M8" s="441"/>
      <c r="N8" s="442"/>
      <c r="U8" s="386"/>
      <c r="V8" s="87"/>
      <c r="X8" s="386"/>
      <c r="Z8" s="87"/>
      <c r="AB8" s="386"/>
      <c r="AC8" s="87"/>
      <c r="AF8" s="386"/>
    </row>
    <row r="9" spans="1:32" s="437" customFormat="1">
      <c r="C9" s="398" t="s">
        <v>418</v>
      </c>
      <c r="D9" s="439"/>
      <c r="H9" s="398" t="s">
        <v>419</v>
      </c>
      <c r="M9" s="440"/>
      <c r="N9" s="440"/>
      <c r="O9" s="440"/>
      <c r="P9" s="440"/>
      <c r="Q9" s="440"/>
      <c r="R9" s="440"/>
      <c r="S9" s="440"/>
      <c r="T9" s="440"/>
      <c r="U9" s="440"/>
      <c r="W9" s="440"/>
      <c r="X9" s="440"/>
      <c r="AA9" s="440"/>
      <c r="AB9" s="440"/>
      <c r="AD9" s="440"/>
      <c r="AE9" s="440"/>
      <c r="AF9" s="440"/>
    </row>
    <row r="10" spans="1:32" s="437" customFormat="1">
      <c r="C10" s="398" t="s">
        <v>419</v>
      </c>
      <c r="D10" s="439"/>
      <c r="H10" s="398" t="s">
        <v>420</v>
      </c>
      <c r="I10" s="437">
        <f>0.9*2.1+1*1.7*2</f>
        <v>5.29</v>
      </c>
      <c r="M10" s="440"/>
      <c r="N10" s="440"/>
      <c r="O10" s="440"/>
      <c r="P10" s="440"/>
      <c r="Q10" s="440"/>
      <c r="R10" s="440"/>
      <c r="S10" s="440"/>
      <c r="T10" s="440"/>
      <c r="U10" s="440"/>
      <c r="W10" s="440"/>
      <c r="X10" s="440"/>
      <c r="AA10" s="440"/>
      <c r="AB10" s="440"/>
      <c r="AD10" s="440"/>
      <c r="AE10" s="440"/>
      <c r="AF10" s="440"/>
    </row>
    <row r="11" spans="1:32" s="437" customFormat="1">
      <c r="C11" s="398" t="s">
        <v>420</v>
      </c>
      <c r="D11" s="439">
        <f>2*0.9*2.1+2*1*1.7+2*1*1.7</f>
        <v>10.58</v>
      </c>
      <c r="E11" s="437">
        <f>D11</f>
        <v>10.58</v>
      </c>
      <c r="H11" s="398" t="s">
        <v>421</v>
      </c>
      <c r="M11" s="440"/>
      <c r="N11" s="440"/>
      <c r="O11" s="440"/>
      <c r="P11" s="440"/>
      <c r="Q11" s="440"/>
      <c r="R11" s="440"/>
      <c r="S11" s="440"/>
      <c r="T11" s="440"/>
      <c r="U11" s="440"/>
      <c r="W11" s="440"/>
      <c r="X11" s="440"/>
      <c r="AA11" s="440"/>
      <c r="AB11" s="440"/>
      <c r="AD11" s="440"/>
      <c r="AE11" s="440"/>
      <c r="AF11" s="440"/>
    </row>
    <row r="12" spans="1:32" s="437" customFormat="1">
      <c r="C12" s="398" t="s">
        <v>421</v>
      </c>
      <c r="D12" s="439"/>
      <c r="H12" s="398" t="s">
        <v>422</v>
      </c>
      <c r="M12" s="440"/>
      <c r="N12" s="440"/>
      <c r="O12" s="440"/>
      <c r="P12" s="440"/>
      <c r="Q12" s="440"/>
      <c r="R12" s="440"/>
      <c r="S12" s="440"/>
      <c r="T12" s="440"/>
      <c r="U12" s="440"/>
      <c r="W12" s="440"/>
      <c r="X12" s="440"/>
      <c r="AA12" s="440"/>
      <c r="AB12" s="440"/>
      <c r="AD12" s="440"/>
      <c r="AE12" s="440"/>
      <c r="AF12" s="440"/>
    </row>
    <row r="13" spans="1:32" s="437" customFormat="1">
      <c r="C13" s="398" t="s">
        <v>422</v>
      </c>
      <c r="D13" s="439"/>
      <c r="I13" s="437">
        <f>SUM(I5:I12)</f>
        <v>19.190000000000001</v>
      </c>
      <c r="M13" s="440"/>
      <c r="N13" s="440"/>
      <c r="O13" s="440"/>
      <c r="P13" s="440"/>
      <c r="Q13" s="440"/>
      <c r="R13" s="440"/>
      <c r="S13" s="440"/>
      <c r="T13" s="440"/>
      <c r="U13" s="440"/>
      <c r="W13" s="440"/>
      <c r="X13" s="440"/>
      <c r="AA13" s="440"/>
      <c r="AB13" s="440"/>
      <c r="AD13" s="440"/>
      <c r="AE13" s="440"/>
      <c r="AF13" s="440"/>
    </row>
    <row r="14" spans="1:32" s="437" customFormat="1" ht="15">
      <c r="C14" s="438"/>
      <c r="D14" s="439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W14" s="440"/>
      <c r="X14" s="440"/>
      <c r="AA14" s="440"/>
      <c r="AB14" s="440"/>
      <c r="AD14" s="440"/>
      <c r="AE14" s="440"/>
      <c r="AF14" s="440"/>
    </row>
    <row r="15" spans="1:32" s="437" customFormat="1" ht="15">
      <c r="C15" s="438"/>
      <c r="D15" s="439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W15" s="440"/>
      <c r="X15" s="440"/>
      <c r="AA15" s="440"/>
      <c r="AB15" s="440"/>
      <c r="AD15" s="440"/>
      <c r="AE15" s="440"/>
      <c r="AF15" s="440"/>
    </row>
    <row r="16" spans="1:32" s="437" customFormat="1" ht="63.75">
      <c r="C16" s="438" t="s">
        <v>449</v>
      </c>
      <c r="D16" s="470" t="s">
        <v>454</v>
      </c>
      <c r="E16" s="470" t="s">
        <v>455</v>
      </c>
      <c r="F16" s="440" t="s">
        <v>468</v>
      </c>
      <c r="G16" s="440"/>
      <c r="H16" s="469" t="s">
        <v>450</v>
      </c>
      <c r="I16" s="469" t="s">
        <v>451</v>
      </c>
      <c r="J16" s="469" t="s">
        <v>452</v>
      </c>
      <c r="K16" s="469"/>
      <c r="L16" s="470" t="s">
        <v>453</v>
      </c>
      <c r="M16" s="470" t="s">
        <v>456</v>
      </c>
      <c r="N16" s="470" t="s">
        <v>457</v>
      </c>
      <c r="O16" s="470" t="s">
        <v>458</v>
      </c>
      <c r="P16" s="470" t="s">
        <v>459</v>
      </c>
      <c r="Q16" s="470" t="s">
        <v>460</v>
      </c>
      <c r="R16" s="471" t="s">
        <v>461</v>
      </c>
      <c r="S16" s="440"/>
      <c r="T16" s="440"/>
      <c r="U16" s="440"/>
      <c r="W16" s="440"/>
      <c r="X16" s="440"/>
      <c r="AA16" s="440"/>
      <c r="AB16" s="440"/>
      <c r="AD16" s="440"/>
      <c r="AE16" s="440"/>
      <c r="AF16" s="440"/>
    </row>
    <row r="17" spans="3:32" s="437" customFormat="1">
      <c r="C17" s="398" t="s">
        <v>415</v>
      </c>
      <c r="D17" s="439"/>
      <c r="L17" s="440"/>
      <c r="M17" s="440"/>
      <c r="N17" s="440"/>
      <c r="O17" s="440"/>
      <c r="P17" s="440"/>
      <c r="Q17" s="440"/>
      <c r="R17" s="440" t="s">
        <v>462</v>
      </c>
      <c r="S17" s="440"/>
      <c r="T17" s="440"/>
      <c r="U17" s="440"/>
      <c r="W17" s="440"/>
      <c r="X17" s="440"/>
      <c r="AA17" s="440"/>
      <c r="AB17" s="440"/>
      <c r="AD17" s="440"/>
      <c r="AE17" s="440"/>
      <c r="AF17" s="440"/>
    </row>
    <row r="18" spans="3:32" s="437" customFormat="1">
      <c r="C18" s="398" t="s">
        <v>416</v>
      </c>
      <c r="D18" s="439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W18" s="440"/>
      <c r="X18" s="440"/>
      <c r="AA18" s="440"/>
      <c r="AB18" s="440"/>
      <c r="AD18" s="440"/>
      <c r="AE18" s="440"/>
      <c r="AF18" s="440"/>
    </row>
    <row r="19" spans="3:32" s="437" customFormat="1">
      <c r="C19" s="398" t="s">
        <v>417</v>
      </c>
      <c r="D19" s="439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W19" s="440"/>
      <c r="X19" s="440"/>
      <c r="AA19" s="440"/>
      <c r="AB19" s="440"/>
      <c r="AD19" s="440"/>
      <c r="AE19" s="440"/>
      <c r="AF19" s="440"/>
    </row>
    <row r="20" spans="3:32" s="437" customFormat="1">
      <c r="C20" s="398" t="s">
        <v>418</v>
      </c>
      <c r="D20" s="439">
        <v>1</v>
      </c>
      <c r="E20" s="437">
        <v>1</v>
      </c>
      <c r="F20" s="437">
        <v>2</v>
      </c>
      <c r="H20" s="437">
        <v>1</v>
      </c>
      <c r="I20" s="437">
        <v>1</v>
      </c>
      <c r="J20" s="437">
        <v>1</v>
      </c>
      <c r="L20" s="440">
        <v>1</v>
      </c>
      <c r="M20" s="440">
        <v>1</v>
      </c>
      <c r="N20" s="440">
        <v>1</v>
      </c>
      <c r="O20" s="440">
        <v>1</v>
      </c>
      <c r="P20" s="440">
        <v>1</v>
      </c>
      <c r="Q20" s="440">
        <v>1</v>
      </c>
      <c r="R20" s="440"/>
      <c r="S20" s="440"/>
      <c r="T20" s="440"/>
      <c r="U20" s="440"/>
      <c r="W20" s="440"/>
      <c r="X20" s="440"/>
      <c r="AA20" s="440"/>
      <c r="AB20" s="440"/>
      <c r="AD20" s="440"/>
      <c r="AE20" s="440"/>
      <c r="AF20" s="440"/>
    </row>
    <row r="21" spans="3:32" s="437" customFormat="1">
      <c r="C21" s="398" t="s">
        <v>419</v>
      </c>
      <c r="D21" s="439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W21" s="440"/>
      <c r="X21" s="440"/>
      <c r="AA21" s="440"/>
      <c r="AB21" s="440"/>
      <c r="AD21" s="440"/>
      <c r="AE21" s="440"/>
      <c r="AF21" s="440"/>
    </row>
    <row r="22" spans="3:32" s="437" customFormat="1">
      <c r="C22" s="398" t="s">
        <v>420</v>
      </c>
      <c r="D22" s="439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W22" s="440"/>
      <c r="X22" s="440"/>
      <c r="AA22" s="440"/>
      <c r="AB22" s="440"/>
      <c r="AD22" s="440"/>
      <c r="AE22" s="440"/>
      <c r="AF22" s="440"/>
    </row>
    <row r="23" spans="3:32" s="437" customFormat="1">
      <c r="C23" s="398" t="s">
        <v>421</v>
      </c>
      <c r="D23" s="439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W23" s="440"/>
      <c r="X23" s="440"/>
      <c r="AA23" s="440"/>
      <c r="AB23" s="440"/>
      <c r="AD23" s="440"/>
      <c r="AE23" s="440"/>
      <c r="AF23" s="440"/>
    </row>
    <row r="24" spans="3:32" s="437" customFormat="1">
      <c r="C24" s="398" t="s">
        <v>422</v>
      </c>
      <c r="D24" s="439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W24" s="440"/>
      <c r="X24" s="440"/>
      <c r="AA24" s="440"/>
      <c r="AB24" s="440"/>
      <c r="AD24" s="440"/>
      <c r="AE24" s="440"/>
      <c r="AF24" s="440"/>
    </row>
    <row r="25" spans="3:32" s="437" customFormat="1" ht="15">
      <c r="C25" s="438"/>
      <c r="D25" s="439"/>
      <c r="E25" s="439"/>
      <c r="L25" s="440"/>
      <c r="M25" s="440"/>
      <c r="N25" s="440"/>
      <c r="O25" s="440"/>
      <c r="P25" s="440"/>
      <c r="Q25" s="440"/>
      <c r="R25" s="440"/>
      <c r="S25" s="440"/>
      <c r="T25" s="440"/>
      <c r="V25" s="440"/>
      <c r="W25" s="440"/>
      <c r="Z25" s="440"/>
      <c r="AA25" s="440"/>
      <c r="AC25" s="440"/>
      <c r="AD25" s="440"/>
      <c r="AE25" s="440"/>
    </row>
    <row r="26" spans="3:32" s="437" customFormat="1" ht="15.75">
      <c r="C26" s="436" t="s">
        <v>469</v>
      </c>
      <c r="D26" s="385"/>
      <c r="E26" s="385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440"/>
      <c r="Q26" s="440"/>
      <c r="R26" s="440"/>
      <c r="S26" s="440"/>
      <c r="T26" s="440"/>
      <c r="V26" s="440"/>
      <c r="W26" s="440"/>
      <c r="Z26" s="440"/>
      <c r="AA26" s="440"/>
      <c r="AC26" s="440"/>
      <c r="AD26" s="440"/>
      <c r="AE26" s="440"/>
    </row>
    <row r="27" spans="3:32" s="437" customFormat="1" ht="15.75">
      <c r="C27" s="436" t="s">
        <v>470</v>
      </c>
      <c r="D27" s="436"/>
      <c r="E27" s="385"/>
      <c r="F27" s="476" t="s">
        <v>471</v>
      </c>
      <c r="G27" s="647" t="s">
        <v>472</v>
      </c>
      <c r="H27" s="647"/>
      <c r="I27" s="647"/>
      <c r="J27" s="647"/>
      <c r="K27" s="480" t="s">
        <v>463</v>
      </c>
      <c r="L27" s="477" t="s">
        <v>473</v>
      </c>
      <c r="M27" s="441" t="s">
        <v>474</v>
      </c>
      <c r="N27" s="442" t="s">
        <v>475</v>
      </c>
      <c r="O27" s="386"/>
      <c r="P27" s="440"/>
      <c r="Q27" s="440"/>
      <c r="R27" s="440"/>
      <c r="S27" s="440"/>
      <c r="T27" s="440"/>
      <c r="V27" s="440"/>
      <c r="W27" s="440"/>
      <c r="Z27" s="440"/>
      <c r="AA27" s="440"/>
      <c r="AC27" s="440"/>
      <c r="AD27" s="440"/>
      <c r="AE27" s="440"/>
    </row>
    <row r="28" spans="3:32" s="437" customFormat="1">
      <c r="C28" s="440" t="s">
        <v>476</v>
      </c>
      <c r="D28" s="439">
        <v>34.35</v>
      </c>
      <c r="F28" s="484">
        <f>2.5*0.9</f>
        <v>2.25</v>
      </c>
      <c r="G28" s="481" t="s">
        <v>402</v>
      </c>
      <c r="H28" s="478" t="s">
        <v>477</v>
      </c>
      <c r="I28" s="481" t="s">
        <v>478</v>
      </c>
      <c r="J28" s="479"/>
      <c r="K28" s="479"/>
      <c r="L28" s="479">
        <v>2.91</v>
      </c>
      <c r="M28" s="440">
        <v>1</v>
      </c>
      <c r="N28" s="440"/>
      <c r="O28" s="440"/>
      <c r="P28" s="440"/>
      <c r="Q28" s="440"/>
      <c r="R28" s="440"/>
      <c r="S28" s="440"/>
      <c r="T28" s="440"/>
      <c r="V28" s="440"/>
      <c r="W28" s="440"/>
      <c r="Z28" s="440"/>
      <c r="AA28" s="440"/>
      <c r="AC28" s="440"/>
      <c r="AD28" s="440"/>
      <c r="AE28" s="440"/>
    </row>
    <row r="29" spans="3:32" s="437" customFormat="1">
      <c r="C29" s="440" t="s">
        <v>479</v>
      </c>
      <c r="D29" s="439">
        <v>44.78</v>
      </c>
      <c r="F29" s="484">
        <f>0.6*2.5</f>
        <v>1.5</v>
      </c>
      <c r="G29" s="481">
        <v>4</v>
      </c>
      <c r="H29" s="481">
        <v>3</v>
      </c>
      <c r="I29" s="481">
        <v>0.15</v>
      </c>
      <c r="J29" s="481">
        <f t="shared" ref="J29:J35" si="0">I29*H29*G29</f>
        <v>1.7999999999999998</v>
      </c>
      <c r="K29" s="481">
        <f>H29*G29</f>
        <v>12</v>
      </c>
      <c r="L29" s="481">
        <v>2.6</v>
      </c>
      <c r="M29" s="440"/>
      <c r="N29" s="440"/>
      <c r="O29" s="440"/>
      <c r="P29" s="440"/>
      <c r="Q29" s="440"/>
      <c r="R29" s="440"/>
      <c r="S29" s="440"/>
      <c r="T29" s="440"/>
      <c r="V29" s="440"/>
      <c r="W29" s="440"/>
      <c r="Z29" s="440"/>
      <c r="AA29" s="440"/>
      <c r="AC29" s="440"/>
      <c r="AD29" s="440"/>
      <c r="AE29" s="440"/>
    </row>
    <row r="30" spans="3:32" s="437" customFormat="1">
      <c r="C30" s="440" t="s">
        <v>480</v>
      </c>
      <c r="D30" s="439">
        <v>20.52</v>
      </c>
      <c r="F30" s="484">
        <f>0.6*2.5</f>
        <v>1.5</v>
      </c>
      <c r="G30" s="481">
        <v>0.55000000000000004</v>
      </c>
      <c r="H30" s="481">
        <v>3</v>
      </c>
      <c r="I30" s="481">
        <v>0.13</v>
      </c>
      <c r="J30" s="481">
        <f t="shared" si="0"/>
        <v>0.21450000000000002</v>
      </c>
      <c r="K30" s="481">
        <f t="shared" ref="K30:K38" si="1">H30*G30</f>
        <v>1.6500000000000001</v>
      </c>
      <c r="L30" s="481">
        <v>0.77</v>
      </c>
      <c r="M30" s="440"/>
      <c r="N30" s="440"/>
      <c r="O30" s="440"/>
      <c r="P30" s="440"/>
      <c r="Q30" s="440"/>
      <c r="R30" s="440"/>
      <c r="S30" s="440"/>
      <c r="T30" s="440"/>
      <c r="V30" s="440"/>
      <c r="W30" s="440"/>
      <c r="Z30" s="440"/>
      <c r="AA30" s="440"/>
      <c r="AC30" s="440"/>
      <c r="AD30" s="440"/>
      <c r="AE30" s="440"/>
    </row>
    <row r="31" spans="3:32" s="437" customFormat="1" ht="15">
      <c r="C31" s="438" t="s">
        <v>15</v>
      </c>
      <c r="D31" s="439">
        <f>SUM(D28:D30)</f>
        <v>99.649999999999991</v>
      </c>
      <c r="F31" s="484">
        <f>0.6*2.5</f>
        <v>1.5</v>
      </c>
      <c r="G31" s="481">
        <v>1</v>
      </c>
      <c r="H31" s="481">
        <v>3</v>
      </c>
      <c r="I31" s="481">
        <v>0.15</v>
      </c>
      <c r="J31" s="481">
        <f t="shared" si="0"/>
        <v>0.44999999999999996</v>
      </c>
      <c r="K31" s="481">
        <f t="shared" si="1"/>
        <v>3</v>
      </c>
      <c r="L31" s="483">
        <f>SUM(L28:L30)</f>
        <v>6.2799999999999994</v>
      </c>
      <c r="M31" s="440"/>
      <c r="N31" s="440"/>
      <c r="O31" s="440"/>
      <c r="P31" s="440"/>
      <c r="Q31" s="440"/>
      <c r="R31" s="440"/>
      <c r="S31" s="440"/>
      <c r="T31" s="440"/>
      <c r="V31" s="440"/>
      <c r="W31" s="440"/>
      <c r="Z31" s="440"/>
      <c r="AA31" s="440"/>
      <c r="AC31" s="440"/>
      <c r="AD31" s="440"/>
      <c r="AE31" s="440"/>
    </row>
    <row r="32" spans="3:32" s="437" customFormat="1" ht="15">
      <c r="C32" s="438"/>
      <c r="D32" s="439"/>
      <c r="F32" s="484">
        <f>0.6*2.5</f>
        <v>1.5</v>
      </c>
      <c r="G32" s="481">
        <f>1.25+0.62</f>
        <v>1.87</v>
      </c>
      <c r="H32" s="481">
        <v>3</v>
      </c>
      <c r="I32" s="481">
        <v>0.15</v>
      </c>
      <c r="J32" s="481">
        <f t="shared" si="0"/>
        <v>0.84149999999999991</v>
      </c>
      <c r="K32" s="481">
        <f t="shared" si="1"/>
        <v>5.61</v>
      </c>
      <c r="L32" s="441"/>
      <c r="M32" s="440"/>
      <c r="N32" s="440"/>
      <c r="O32" s="440"/>
      <c r="P32" s="440"/>
      <c r="Q32" s="440"/>
      <c r="R32" s="440"/>
      <c r="S32" s="440"/>
      <c r="T32" s="440"/>
      <c r="V32" s="440"/>
      <c r="W32" s="440"/>
      <c r="Z32" s="440"/>
      <c r="AA32" s="440"/>
      <c r="AC32" s="440"/>
      <c r="AD32" s="440"/>
      <c r="AE32" s="440"/>
    </row>
    <row r="33" spans="3:31" s="437" customFormat="1" ht="15">
      <c r="C33" s="438"/>
      <c r="D33" s="439"/>
      <c r="F33" s="484">
        <f>2.5*0.9</f>
        <v>2.25</v>
      </c>
      <c r="G33" s="481">
        <f>1.65+0.55+0.08+0.2</f>
        <v>2.4800000000000004</v>
      </c>
      <c r="H33" s="481">
        <v>3</v>
      </c>
      <c r="I33" s="481">
        <v>0.15</v>
      </c>
      <c r="J33" s="481">
        <f t="shared" si="0"/>
        <v>1.1160000000000001</v>
      </c>
      <c r="K33" s="481">
        <f t="shared" si="1"/>
        <v>7.4400000000000013</v>
      </c>
      <c r="L33" s="440"/>
      <c r="M33" s="440"/>
      <c r="N33" s="440"/>
      <c r="O33" s="440"/>
      <c r="P33" s="440"/>
      <c r="Q33" s="440"/>
      <c r="R33" s="440"/>
      <c r="S33" s="440"/>
      <c r="T33" s="440"/>
      <c r="V33" s="440"/>
      <c r="W33" s="440"/>
      <c r="Z33" s="440"/>
      <c r="AA33" s="440"/>
      <c r="AC33" s="440"/>
      <c r="AD33" s="440"/>
      <c r="AE33" s="440"/>
    </row>
    <row r="34" spans="3:31" s="437" customFormat="1" ht="15">
      <c r="C34" s="438"/>
      <c r="D34" s="439"/>
      <c r="F34" s="484">
        <f>0.8*2.5</f>
        <v>2</v>
      </c>
      <c r="G34" s="481">
        <v>0.75</v>
      </c>
      <c r="H34" s="481">
        <v>3</v>
      </c>
      <c r="I34" s="481">
        <v>0.13</v>
      </c>
      <c r="J34" s="481">
        <f t="shared" si="0"/>
        <v>0.29249999999999998</v>
      </c>
      <c r="K34" s="481">
        <f t="shared" si="1"/>
        <v>2.25</v>
      </c>
      <c r="L34" s="440"/>
      <c r="M34" s="440"/>
      <c r="N34" s="440"/>
      <c r="O34" s="440"/>
      <c r="P34" s="440"/>
      <c r="Q34" s="440"/>
      <c r="R34" s="440"/>
      <c r="S34" s="440"/>
      <c r="T34" s="440"/>
      <c r="V34" s="440"/>
      <c r="W34" s="440"/>
      <c r="Z34" s="440"/>
      <c r="AA34" s="440"/>
      <c r="AC34" s="440"/>
      <c r="AD34" s="440"/>
      <c r="AE34" s="440"/>
    </row>
    <row r="35" spans="3:31" s="437" customFormat="1" ht="15">
      <c r="C35" s="438"/>
      <c r="D35" s="439"/>
      <c r="F35" s="484">
        <f>2.5*0.9</f>
        <v>2.25</v>
      </c>
      <c r="G35" s="481">
        <v>1.1200000000000001</v>
      </c>
      <c r="H35" s="481">
        <v>3</v>
      </c>
      <c r="I35" s="481">
        <v>0.15</v>
      </c>
      <c r="J35" s="481">
        <f t="shared" si="0"/>
        <v>0.504</v>
      </c>
      <c r="K35" s="481">
        <f t="shared" si="1"/>
        <v>3.3600000000000003</v>
      </c>
      <c r="L35" s="440"/>
      <c r="M35" s="440"/>
      <c r="N35" s="440"/>
      <c r="O35" s="440"/>
      <c r="P35" s="440"/>
      <c r="Q35" s="440"/>
      <c r="R35" s="440"/>
      <c r="S35" s="440"/>
      <c r="T35" s="440"/>
      <c r="V35" s="440"/>
      <c r="W35" s="440"/>
      <c r="Z35" s="440"/>
      <c r="AA35" s="440"/>
      <c r="AC35" s="440"/>
      <c r="AD35" s="440"/>
      <c r="AE35" s="440"/>
    </row>
    <row r="36" spans="3:31" s="437" customFormat="1" ht="15">
      <c r="C36" s="438"/>
      <c r="D36" s="439"/>
      <c r="F36" s="484">
        <f t="shared" ref="F36:F41" si="2">1.85</f>
        <v>1.85</v>
      </c>
      <c r="G36" s="481">
        <v>0.9</v>
      </c>
      <c r="H36" s="481">
        <v>3</v>
      </c>
      <c r="I36" s="481">
        <v>0.13</v>
      </c>
      <c r="J36" s="481">
        <f>I36*H36*G36</f>
        <v>0.35100000000000003</v>
      </c>
      <c r="K36" s="481">
        <f t="shared" si="1"/>
        <v>2.7</v>
      </c>
      <c r="L36" s="440"/>
      <c r="M36" s="440"/>
      <c r="N36" s="440"/>
      <c r="O36" s="440"/>
      <c r="P36" s="440"/>
      <c r="Q36" s="440"/>
      <c r="R36" s="440"/>
      <c r="S36" s="440"/>
      <c r="T36" s="440"/>
      <c r="V36" s="440"/>
      <c r="W36" s="440"/>
      <c r="Z36" s="440"/>
      <c r="AA36" s="440"/>
      <c r="AC36" s="440"/>
      <c r="AD36" s="440"/>
      <c r="AE36" s="440"/>
    </row>
    <row r="37" spans="3:31" s="437" customFormat="1" ht="15">
      <c r="C37" s="438"/>
      <c r="D37" s="439"/>
      <c r="F37" s="484">
        <f t="shared" si="2"/>
        <v>1.85</v>
      </c>
      <c r="G37" s="481">
        <v>1.1200000000000001</v>
      </c>
      <c r="H37" s="481">
        <v>3</v>
      </c>
      <c r="I37" s="481">
        <v>0.15</v>
      </c>
      <c r="J37" s="481">
        <f>I37*H37*G37</f>
        <v>0.504</v>
      </c>
      <c r="K37" s="481">
        <f t="shared" si="1"/>
        <v>3.3600000000000003</v>
      </c>
      <c r="L37" s="440"/>
      <c r="M37" s="440"/>
      <c r="N37" s="440"/>
      <c r="O37" s="440"/>
      <c r="P37" s="440"/>
      <c r="Q37" s="440"/>
      <c r="R37" s="440"/>
      <c r="S37" s="440"/>
      <c r="T37" s="440"/>
      <c r="V37" s="440"/>
      <c r="W37" s="440"/>
      <c r="Z37" s="440"/>
      <c r="AA37" s="440"/>
      <c r="AC37" s="440"/>
      <c r="AD37" s="440"/>
      <c r="AE37" s="440"/>
    </row>
    <row r="38" spans="3:31" s="437" customFormat="1" ht="15">
      <c r="C38" s="438"/>
      <c r="D38" s="439"/>
      <c r="F38" s="484">
        <f t="shared" si="2"/>
        <v>1.85</v>
      </c>
      <c r="G38" s="481">
        <v>2.73</v>
      </c>
      <c r="H38" s="481">
        <v>1</v>
      </c>
      <c r="I38" s="481">
        <v>0.15</v>
      </c>
      <c r="J38" s="481">
        <f>I38*H38*G38</f>
        <v>0.40949999999999998</v>
      </c>
      <c r="K38" s="481">
        <f t="shared" si="1"/>
        <v>2.73</v>
      </c>
      <c r="L38" s="440"/>
      <c r="M38" s="440"/>
      <c r="N38" s="440"/>
      <c r="O38" s="440"/>
      <c r="P38" s="440"/>
      <c r="Q38" s="440"/>
      <c r="R38" s="440"/>
      <c r="S38" s="440"/>
      <c r="T38" s="440"/>
      <c r="V38" s="440"/>
      <c r="W38" s="440"/>
      <c r="Z38" s="440"/>
      <c r="AA38" s="440"/>
      <c r="AC38" s="440"/>
      <c r="AD38" s="440"/>
      <c r="AE38" s="440"/>
    </row>
    <row r="39" spans="3:31" s="437" customFormat="1" ht="15">
      <c r="C39" s="438"/>
      <c r="D39" s="439"/>
      <c r="F39" s="484">
        <f t="shared" si="2"/>
        <v>1.85</v>
      </c>
      <c r="G39" s="481"/>
      <c r="H39" s="481"/>
      <c r="I39" s="482"/>
      <c r="J39" s="482"/>
      <c r="K39" s="482"/>
      <c r="L39" s="440"/>
      <c r="M39" s="440"/>
      <c r="N39" s="440"/>
      <c r="O39" s="440"/>
      <c r="P39" s="440"/>
      <c r="Q39" s="440"/>
      <c r="R39" s="440"/>
      <c r="S39" s="440"/>
      <c r="T39" s="440"/>
      <c r="V39" s="440"/>
      <c r="W39" s="440"/>
      <c r="Z39" s="440"/>
      <c r="AA39" s="440"/>
      <c r="AC39" s="440"/>
      <c r="AD39" s="440"/>
      <c r="AE39" s="440"/>
    </row>
    <row r="40" spans="3:31" s="437" customFormat="1" ht="15">
      <c r="C40" s="438"/>
      <c r="D40" s="439"/>
      <c r="F40" s="484">
        <f t="shared" si="2"/>
        <v>1.85</v>
      </c>
      <c r="G40" s="481"/>
      <c r="H40" s="481"/>
      <c r="I40" s="481" t="s">
        <v>15</v>
      </c>
      <c r="J40" s="483">
        <f>SUM(J29:J38)</f>
        <v>6.4830000000000005</v>
      </c>
      <c r="K40" s="483">
        <f>SUM(K29:K39)</f>
        <v>44.1</v>
      </c>
      <c r="L40" s="440"/>
      <c r="M40" s="440"/>
      <c r="N40" s="440"/>
      <c r="O40" s="440"/>
      <c r="P40" s="440"/>
      <c r="Q40" s="440"/>
      <c r="R40" s="440"/>
      <c r="S40" s="440"/>
      <c r="T40" s="440"/>
      <c r="V40" s="440"/>
      <c r="W40" s="440"/>
      <c r="Z40" s="440"/>
      <c r="AA40" s="440"/>
      <c r="AC40" s="440"/>
      <c r="AD40" s="440"/>
      <c r="AE40" s="440"/>
    </row>
    <row r="41" spans="3:31" s="437" customFormat="1" ht="15">
      <c r="C41" s="438"/>
      <c r="D41" s="439"/>
      <c r="F41" s="484">
        <f t="shared" si="2"/>
        <v>1.85</v>
      </c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V41" s="440"/>
      <c r="W41" s="440"/>
      <c r="Z41" s="440"/>
      <c r="AA41" s="440"/>
      <c r="AC41" s="440"/>
      <c r="AD41" s="440"/>
      <c r="AE41" s="440"/>
    </row>
    <row r="42" spans="3:31" s="437" customFormat="1" ht="15">
      <c r="C42" s="438"/>
      <c r="D42" s="439"/>
      <c r="F42" s="484">
        <f>2.5*1.3</f>
        <v>3.25</v>
      </c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V42" s="440"/>
      <c r="W42" s="440"/>
      <c r="Z42" s="440"/>
      <c r="AA42" s="440"/>
      <c r="AC42" s="440"/>
      <c r="AD42" s="440"/>
      <c r="AE42" s="440"/>
    </row>
    <row r="43" spans="3:31" s="437" customFormat="1" ht="15">
      <c r="C43" s="438"/>
      <c r="D43" s="439"/>
      <c r="F43" s="485">
        <f>SUM(F28:F42)</f>
        <v>29.100000000000009</v>
      </c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V43" s="440"/>
      <c r="W43" s="440"/>
      <c r="Z43" s="440"/>
      <c r="AA43" s="440"/>
      <c r="AC43" s="440"/>
      <c r="AD43" s="440"/>
      <c r="AE43" s="440"/>
    </row>
    <row r="44" spans="3:31" s="437" customFormat="1" ht="15">
      <c r="C44" s="438"/>
      <c r="D44" s="439"/>
      <c r="E44" s="439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V44" s="440"/>
      <c r="W44" s="440"/>
      <c r="Z44" s="440"/>
      <c r="AA44" s="440"/>
      <c r="AC44" s="440"/>
      <c r="AD44" s="440"/>
      <c r="AE44" s="440"/>
    </row>
    <row r="45" spans="3:31" s="437" customFormat="1" ht="15">
      <c r="C45" s="438"/>
      <c r="D45" s="439"/>
      <c r="E45" s="439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V45" s="440"/>
      <c r="W45" s="440"/>
      <c r="Z45" s="440"/>
      <c r="AA45" s="440"/>
      <c r="AC45" s="440"/>
      <c r="AD45" s="440"/>
      <c r="AE45" s="440"/>
    </row>
    <row r="46" spans="3:31" s="437" customFormat="1" ht="15">
      <c r="C46" s="438"/>
      <c r="D46" s="439"/>
      <c r="E46" s="439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V46" s="440"/>
      <c r="W46" s="440"/>
      <c r="Z46" s="440"/>
      <c r="AA46" s="440"/>
      <c r="AC46" s="440"/>
      <c r="AD46" s="440"/>
      <c r="AE46" s="440"/>
    </row>
    <row r="47" spans="3:31" s="437" customFormat="1" ht="15">
      <c r="C47" s="438"/>
      <c r="D47" s="439"/>
      <c r="E47" s="439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V47" s="440"/>
      <c r="W47" s="440"/>
      <c r="Z47" s="440"/>
      <c r="AA47" s="440"/>
      <c r="AC47" s="440"/>
      <c r="AD47" s="440"/>
      <c r="AE47" s="440"/>
    </row>
    <row r="48" spans="3:31" s="437" customFormat="1" ht="15">
      <c r="C48" s="438"/>
      <c r="D48" s="439"/>
      <c r="E48" s="439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V48" s="440"/>
      <c r="W48" s="440"/>
      <c r="Z48" s="440"/>
      <c r="AA48" s="440"/>
      <c r="AC48" s="440"/>
      <c r="AD48" s="440"/>
      <c r="AE48" s="440"/>
    </row>
    <row r="49" spans="1:31" s="437" customFormat="1" ht="15">
      <c r="C49" s="438"/>
      <c r="D49" s="439"/>
      <c r="E49" s="439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V49" s="440"/>
      <c r="W49" s="440"/>
      <c r="Z49" s="440"/>
      <c r="AA49" s="440"/>
      <c r="AC49" s="440"/>
      <c r="AD49" s="440"/>
      <c r="AE49" s="440"/>
    </row>
    <row r="50" spans="1:31" ht="16.5" thickBot="1">
      <c r="A50" s="384"/>
      <c r="C50" s="436"/>
    </row>
    <row r="51" spans="1:31" ht="12.75" customHeight="1" thickBot="1">
      <c r="F51" s="443" t="s">
        <v>393</v>
      </c>
      <c r="G51" s="443" t="s">
        <v>394</v>
      </c>
      <c r="H51" s="443" t="s">
        <v>395</v>
      </c>
      <c r="I51" s="645" t="s">
        <v>396</v>
      </c>
      <c r="J51" s="646"/>
      <c r="K51" s="646"/>
      <c r="L51" s="646"/>
      <c r="M51" s="444" t="s">
        <v>448</v>
      </c>
      <c r="N51" s="453"/>
      <c r="O51" s="453"/>
      <c r="P51" s="445"/>
      <c r="Q51" s="445"/>
      <c r="R51" s="643"/>
      <c r="S51" s="643"/>
      <c r="T51" s="644"/>
      <c r="U51" s="641"/>
      <c r="V51" s="642"/>
      <c r="W51" s="387"/>
      <c r="X51" s="388"/>
    </row>
    <row r="52" spans="1:31" ht="51">
      <c r="C52" s="389" t="s">
        <v>397</v>
      </c>
      <c r="D52" s="390" t="s">
        <v>398</v>
      </c>
      <c r="E52" s="391" t="s">
        <v>399</v>
      </c>
      <c r="F52" s="392" t="s">
        <v>423</v>
      </c>
      <c r="G52" s="393" t="s">
        <v>400</v>
      </c>
      <c r="H52" s="393" t="s">
        <v>424</v>
      </c>
      <c r="I52" s="393" t="s">
        <v>425</v>
      </c>
      <c r="J52" s="393" t="s">
        <v>427</v>
      </c>
      <c r="K52" s="393"/>
      <c r="L52" s="393" t="s">
        <v>426</v>
      </c>
      <c r="M52" s="454"/>
      <c r="N52" s="454"/>
      <c r="O52" s="454"/>
      <c r="P52" s="454"/>
      <c r="Q52" s="455"/>
      <c r="R52" s="446"/>
      <c r="S52" s="447"/>
      <c r="T52" s="448"/>
      <c r="U52" s="394"/>
      <c r="V52" s="395"/>
      <c r="W52" s="396"/>
      <c r="X52" s="397"/>
      <c r="Z52" s="398"/>
      <c r="AA52" s="399"/>
      <c r="AB52" s="399"/>
    </row>
    <row r="53" spans="1:31" s="400" customFormat="1" ht="22.5" customHeight="1">
      <c r="C53" s="398" t="s">
        <v>415</v>
      </c>
      <c r="D53" s="401">
        <v>28.99</v>
      </c>
      <c r="E53" s="402">
        <v>22.4</v>
      </c>
      <c r="F53" s="403">
        <f>D53</f>
        <v>28.99</v>
      </c>
      <c r="G53" s="401">
        <f>E53-0.7-1.3</f>
        <v>20.399999999999999</v>
      </c>
      <c r="H53" s="401">
        <f>D53</f>
        <v>28.99</v>
      </c>
      <c r="I53" s="395">
        <f>3.05*E53-0.9*2.1-1.8*1-1.3*2.1</f>
        <v>61.899999999999991</v>
      </c>
      <c r="J53" s="404"/>
      <c r="K53" s="404"/>
      <c r="L53" s="404"/>
      <c r="M53" s="456">
        <f>D53</f>
        <v>28.99</v>
      </c>
      <c r="N53" s="456"/>
      <c r="O53" s="456"/>
      <c r="P53" s="457"/>
      <c r="Q53" s="458"/>
      <c r="R53" s="449"/>
      <c r="S53" s="450"/>
      <c r="T53" s="451"/>
      <c r="U53" s="406"/>
      <c r="V53" s="395"/>
      <c r="W53" s="382"/>
      <c r="X53" s="407"/>
      <c r="Z53" s="408"/>
      <c r="AA53" s="382"/>
      <c r="AB53" s="382"/>
      <c r="AC53" s="409"/>
      <c r="AD53" s="409"/>
      <c r="AE53" s="409"/>
    </row>
    <row r="54" spans="1:31" s="400" customFormat="1" ht="13.5" thickBot="1">
      <c r="C54" s="398" t="s">
        <v>416</v>
      </c>
      <c r="D54" s="401">
        <v>13.08</v>
      </c>
      <c r="E54" s="402">
        <v>15.3599</v>
      </c>
      <c r="F54" s="403">
        <f t="shared" ref="F54:F60" si="3">D54</f>
        <v>13.08</v>
      </c>
      <c r="G54" s="401">
        <f>E54-0.9</f>
        <v>14.459899999999999</v>
      </c>
      <c r="H54" s="401">
        <f t="shared" ref="H54:H60" si="4">D54</f>
        <v>13.08</v>
      </c>
      <c r="I54" s="395"/>
      <c r="J54" s="404">
        <f>3.05*E54-0.9*2.1-1*1.7</f>
        <v>43.257694999999991</v>
      </c>
      <c r="K54" s="404"/>
      <c r="L54" s="404"/>
      <c r="M54" s="456">
        <f t="shared" ref="M54:M60" si="5">D54</f>
        <v>13.08</v>
      </c>
      <c r="N54" s="456"/>
      <c r="O54" s="456"/>
      <c r="P54" s="457"/>
      <c r="Q54" s="458"/>
      <c r="R54" s="452"/>
      <c r="S54" s="450"/>
      <c r="T54" s="451"/>
      <c r="U54" s="410"/>
      <c r="V54" s="411"/>
      <c r="W54" s="383"/>
      <c r="X54" s="412"/>
      <c r="Z54" s="408"/>
      <c r="AA54" s="382"/>
      <c r="AB54" s="382"/>
      <c r="AC54" s="409"/>
      <c r="AD54" s="409"/>
      <c r="AE54" s="409"/>
    </row>
    <row r="55" spans="1:31" s="400" customFormat="1">
      <c r="C55" s="398" t="s">
        <v>417</v>
      </c>
      <c r="D55" s="401">
        <v>5.51</v>
      </c>
      <c r="E55" s="402">
        <v>10.8</v>
      </c>
      <c r="F55" s="403">
        <f t="shared" si="3"/>
        <v>5.51</v>
      </c>
      <c r="G55" s="401">
        <f>E55-2*0.9-2*1.3-1.3</f>
        <v>5.1000000000000005</v>
      </c>
      <c r="H55" s="401">
        <f t="shared" si="4"/>
        <v>5.51</v>
      </c>
      <c r="I55" s="395"/>
      <c r="J55" s="404">
        <f>3.05*E55-1.3*2.1-2*1.3*2.1-2*0.9*2.1</f>
        <v>20.969999999999995</v>
      </c>
      <c r="K55" s="404"/>
      <c r="L55" s="404"/>
      <c r="M55" s="456">
        <f t="shared" si="5"/>
        <v>5.51</v>
      </c>
      <c r="N55" s="456"/>
      <c r="O55" s="456"/>
      <c r="P55" s="457"/>
      <c r="Q55" s="458"/>
      <c r="R55" s="452"/>
      <c r="S55" s="450"/>
      <c r="T55" s="451"/>
      <c r="V55" s="409"/>
      <c r="W55" s="409"/>
      <c r="Z55" s="413"/>
      <c r="AA55" s="414"/>
      <c r="AB55" s="382"/>
      <c r="AC55" s="409"/>
      <c r="AD55" s="409"/>
      <c r="AE55" s="409"/>
    </row>
    <row r="56" spans="1:31" s="400" customFormat="1">
      <c r="C56" s="398" t="s">
        <v>418</v>
      </c>
      <c r="D56" s="401">
        <v>4.12</v>
      </c>
      <c r="E56" s="405">
        <v>8.5</v>
      </c>
      <c r="F56" s="403">
        <f t="shared" si="3"/>
        <v>4.12</v>
      </c>
      <c r="G56" s="401">
        <f>E56-0.9</f>
        <v>7.6</v>
      </c>
      <c r="H56" s="401">
        <f t="shared" si="4"/>
        <v>4.12</v>
      </c>
      <c r="I56" s="395"/>
      <c r="J56" s="404"/>
      <c r="K56" s="404"/>
      <c r="L56" s="404">
        <f>3.05*E56-0.9*2.1-0.5*1</f>
        <v>23.534999999999997</v>
      </c>
      <c r="M56" s="456">
        <f t="shared" si="5"/>
        <v>4.12</v>
      </c>
      <c r="N56" s="456"/>
      <c r="O56" s="456"/>
      <c r="P56" s="457"/>
      <c r="Q56" s="458"/>
      <c r="R56" s="452"/>
      <c r="S56" s="450"/>
      <c r="T56" s="451"/>
      <c r="U56" s="415"/>
      <c r="V56" s="416"/>
      <c r="W56" s="409"/>
      <c r="Z56" s="409"/>
      <c r="AA56" s="409"/>
      <c r="AC56" s="409"/>
      <c r="AD56" s="409"/>
      <c r="AE56" s="409"/>
    </row>
    <row r="57" spans="1:31" s="400" customFormat="1">
      <c r="C57" s="398" t="s">
        <v>419</v>
      </c>
      <c r="D57" s="401">
        <v>10.27</v>
      </c>
      <c r="E57" s="405">
        <v>12.94</v>
      </c>
      <c r="F57" s="403">
        <f t="shared" si="3"/>
        <v>10.27</v>
      </c>
      <c r="G57" s="401">
        <f>E57-2*1.3-0.9</f>
        <v>9.44</v>
      </c>
      <c r="H57" s="401">
        <f t="shared" si="4"/>
        <v>10.27</v>
      </c>
      <c r="I57" s="395"/>
      <c r="J57" s="404">
        <f>3.05*E57-2*1.3*2.1-0.9*2.1</f>
        <v>32.116999999999997</v>
      </c>
      <c r="K57" s="404"/>
      <c r="L57" s="404"/>
      <c r="M57" s="456">
        <f t="shared" si="5"/>
        <v>10.27</v>
      </c>
      <c r="N57" s="456"/>
      <c r="O57" s="456"/>
      <c r="P57" s="457"/>
      <c r="Q57" s="458"/>
      <c r="R57" s="449"/>
      <c r="S57" s="450"/>
      <c r="T57" s="451"/>
      <c r="V57" s="409"/>
      <c r="W57" s="409"/>
      <c r="Z57" s="409"/>
      <c r="AA57" s="409"/>
      <c r="AC57" s="409"/>
      <c r="AD57" s="409"/>
      <c r="AE57" s="409"/>
    </row>
    <row r="58" spans="1:31" s="400" customFormat="1">
      <c r="C58" s="398" t="s">
        <v>420</v>
      </c>
      <c r="D58" s="401">
        <v>14.94</v>
      </c>
      <c r="E58" s="405">
        <v>15.48</v>
      </c>
      <c r="F58" s="403">
        <f t="shared" si="3"/>
        <v>14.94</v>
      </c>
      <c r="G58" s="401">
        <f>E58-2*0.9</f>
        <v>13.68</v>
      </c>
      <c r="H58" s="401">
        <f t="shared" si="4"/>
        <v>14.94</v>
      </c>
      <c r="I58" s="395"/>
      <c r="J58" s="404">
        <f>3.05*E58-2*0.9*2.1-1.8*1</f>
        <v>41.634</v>
      </c>
      <c r="K58" s="404"/>
      <c r="L58" s="404"/>
      <c r="M58" s="456">
        <f t="shared" si="5"/>
        <v>14.94</v>
      </c>
      <c r="N58" s="456"/>
      <c r="O58" s="456"/>
      <c r="P58" s="457"/>
      <c r="Q58" s="458"/>
      <c r="R58" s="449"/>
      <c r="S58" s="450"/>
      <c r="T58" s="451"/>
      <c r="U58" s="415"/>
      <c r="V58" s="382"/>
      <c r="W58" s="417"/>
      <c r="Z58" s="409"/>
      <c r="AA58" s="409"/>
      <c r="AC58" s="409"/>
      <c r="AD58" s="409"/>
      <c r="AE58" s="409"/>
    </row>
    <row r="59" spans="1:31" s="400" customFormat="1">
      <c r="C59" s="398" t="s">
        <v>421</v>
      </c>
      <c r="D59" s="401">
        <v>18.88</v>
      </c>
      <c r="E59" s="405">
        <v>17.62</v>
      </c>
      <c r="F59" s="403">
        <f t="shared" si="3"/>
        <v>18.88</v>
      </c>
      <c r="G59" s="401">
        <f>E59-2*0.9</f>
        <v>15.82</v>
      </c>
      <c r="H59" s="401">
        <f t="shared" si="4"/>
        <v>18.88</v>
      </c>
      <c r="I59" s="395"/>
      <c r="J59" s="404">
        <f>3.05*E59-2*0.9*2.1-2*1*1.7</f>
        <v>46.561</v>
      </c>
      <c r="K59" s="404"/>
      <c r="L59" s="404"/>
      <c r="M59" s="456">
        <f t="shared" si="5"/>
        <v>18.88</v>
      </c>
      <c r="N59" s="456"/>
      <c r="O59" s="456"/>
      <c r="P59" s="457"/>
      <c r="Q59" s="458"/>
      <c r="R59" s="449"/>
      <c r="S59" s="450"/>
      <c r="T59" s="451"/>
      <c r="V59" s="409"/>
      <c r="W59" s="409"/>
      <c r="Z59" s="409"/>
      <c r="AA59" s="409"/>
      <c r="AC59" s="409"/>
      <c r="AD59" s="409"/>
      <c r="AE59" s="409"/>
    </row>
    <row r="60" spans="1:31" s="400" customFormat="1">
      <c r="C60" s="398" t="s">
        <v>422</v>
      </c>
      <c r="D60" s="401">
        <v>1.66</v>
      </c>
      <c r="E60" s="405">
        <v>5.15</v>
      </c>
      <c r="F60" s="403">
        <f t="shared" si="3"/>
        <v>1.66</v>
      </c>
      <c r="G60" s="401">
        <f>E60-1.3</f>
        <v>3.8500000000000005</v>
      </c>
      <c r="H60" s="401">
        <f t="shared" si="4"/>
        <v>1.66</v>
      </c>
      <c r="I60" s="395"/>
      <c r="J60" s="404">
        <f>3.05*E60-1.3*2.1</f>
        <v>12.977499999999999</v>
      </c>
      <c r="K60" s="404"/>
      <c r="L60" s="404"/>
      <c r="M60" s="456">
        <f t="shared" si="5"/>
        <v>1.66</v>
      </c>
      <c r="N60" s="456"/>
      <c r="O60" s="456"/>
      <c r="P60" s="457"/>
      <c r="Q60" s="458"/>
      <c r="R60" s="449"/>
      <c r="S60" s="450"/>
      <c r="T60" s="451"/>
      <c r="V60" s="409"/>
      <c r="W60" s="409"/>
      <c r="Z60" s="409"/>
      <c r="AA60" s="409"/>
      <c r="AC60" s="409"/>
      <c r="AD60" s="409"/>
      <c r="AE60" s="409"/>
    </row>
    <row r="61" spans="1:31">
      <c r="C61" s="398"/>
      <c r="D61" s="401"/>
      <c r="E61" s="405"/>
      <c r="F61" s="408"/>
      <c r="G61" s="382"/>
      <c r="H61" s="382"/>
      <c r="I61" s="395"/>
      <c r="J61" s="395"/>
      <c r="K61" s="395"/>
      <c r="L61" s="395"/>
      <c r="M61" s="404"/>
      <c r="N61" s="404"/>
      <c r="O61" s="382"/>
      <c r="P61" s="395"/>
      <c r="Q61" s="402"/>
      <c r="R61" s="408"/>
      <c r="S61" s="395"/>
      <c r="T61" s="402"/>
      <c r="U61" s="419"/>
      <c r="V61" s="382"/>
      <c r="W61" s="382"/>
      <c r="X61" s="400"/>
      <c r="AB61" s="386"/>
      <c r="AC61" s="87"/>
      <c r="AD61" s="87"/>
      <c r="AE61" s="87"/>
    </row>
    <row r="62" spans="1:31">
      <c r="C62" s="398"/>
      <c r="D62" s="401"/>
      <c r="E62" s="405"/>
      <c r="F62" s="408"/>
      <c r="G62" s="382"/>
      <c r="H62" s="382"/>
      <c r="I62" s="395"/>
      <c r="J62" s="395"/>
      <c r="K62" s="395"/>
      <c r="L62" s="395"/>
      <c r="M62" s="404"/>
      <c r="N62" s="404"/>
      <c r="O62" s="382"/>
      <c r="P62" s="395"/>
      <c r="Q62" s="402"/>
      <c r="R62" s="403"/>
      <c r="S62" s="395"/>
      <c r="T62" s="418"/>
      <c r="U62" s="400"/>
      <c r="V62" s="382"/>
      <c r="W62" s="382"/>
      <c r="X62" s="400"/>
    </row>
    <row r="63" spans="1:31">
      <c r="C63" s="398"/>
      <c r="D63" s="401"/>
      <c r="E63" s="405"/>
      <c r="F63" s="408"/>
      <c r="G63" s="382"/>
      <c r="H63" s="382"/>
      <c r="I63" s="395"/>
      <c r="J63" s="395"/>
      <c r="K63" s="395"/>
      <c r="L63" s="395"/>
      <c r="M63" s="404"/>
      <c r="N63" s="404"/>
      <c r="O63" s="382"/>
      <c r="P63" s="395"/>
      <c r="Q63" s="402"/>
      <c r="R63" s="403"/>
      <c r="S63" s="395"/>
      <c r="T63" s="418"/>
      <c r="U63" s="400"/>
      <c r="V63" s="382"/>
      <c r="W63" s="382"/>
      <c r="X63" s="400"/>
    </row>
    <row r="64" spans="1:31" ht="13.5" thickBot="1">
      <c r="C64" s="420"/>
      <c r="D64" s="421"/>
      <c r="E64" s="422"/>
      <c r="F64" s="423"/>
      <c r="G64" s="424"/>
      <c r="H64" s="425"/>
      <c r="I64" s="425"/>
      <c r="J64" s="411"/>
      <c r="K64" s="411"/>
      <c r="L64" s="411"/>
      <c r="M64" s="411"/>
      <c r="N64" s="411"/>
      <c r="O64" s="425"/>
      <c r="P64" s="425"/>
      <c r="Q64" s="426"/>
      <c r="R64" s="427"/>
      <c r="S64" s="425"/>
      <c r="T64" s="428"/>
      <c r="U64" s="400"/>
      <c r="V64" s="409"/>
      <c r="W64" s="409"/>
      <c r="X64" s="400"/>
    </row>
    <row r="65" spans="1:28" ht="28.5" customHeight="1" thickBot="1">
      <c r="C65" s="429" t="s">
        <v>8</v>
      </c>
      <c r="D65" s="430">
        <f>SUM(D53:D64)</f>
        <v>97.449999999999989</v>
      </c>
      <c r="E65" s="430"/>
      <c r="F65" s="430">
        <f>SUM(F53:F64)</f>
        <v>97.449999999999989</v>
      </c>
      <c r="G65" s="430">
        <f>SUM(G53:G64)</f>
        <v>90.349899999999991</v>
      </c>
      <c r="H65" s="430">
        <f t="shared" ref="H65:T65" si="6">SUM(H53:H64)</f>
        <v>97.449999999999989</v>
      </c>
      <c r="I65" s="430">
        <f t="shared" si="6"/>
        <v>61.899999999999991</v>
      </c>
      <c r="J65" s="430">
        <f t="shared" si="6"/>
        <v>197.51719499999996</v>
      </c>
      <c r="K65" s="430">
        <f t="shared" si="6"/>
        <v>0</v>
      </c>
      <c r="L65" s="430">
        <f t="shared" si="6"/>
        <v>23.534999999999997</v>
      </c>
      <c r="M65" s="430">
        <f t="shared" si="6"/>
        <v>97.449999999999989</v>
      </c>
      <c r="N65" s="430">
        <f t="shared" si="6"/>
        <v>0</v>
      </c>
      <c r="O65" s="430">
        <f t="shared" si="6"/>
        <v>0</v>
      </c>
      <c r="P65" s="430">
        <f t="shared" si="6"/>
        <v>0</v>
      </c>
      <c r="Q65" s="430">
        <f t="shared" si="6"/>
        <v>0</v>
      </c>
      <c r="R65" s="430">
        <f t="shared" si="6"/>
        <v>0</v>
      </c>
      <c r="S65" s="430">
        <f t="shared" si="6"/>
        <v>0</v>
      </c>
      <c r="T65" s="430">
        <f t="shared" si="6"/>
        <v>0</v>
      </c>
      <c r="U65" s="431" t="s">
        <v>403</v>
      </c>
      <c r="V65" s="432" t="e">
        <f>#REF!+#REF!+#REF!+V56</f>
        <v>#REF!</v>
      </c>
      <c r="W65" s="409"/>
      <c r="X65" s="400"/>
    </row>
    <row r="66" spans="1:28" ht="30.75" customHeight="1" thickBot="1">
      <c r="U66" s="431" t="s">
        <v>404</v>
      </c>
      <c r="V66" s="432" t="e">
        <f>#REF!+#REF!+#REF!+V58</f>
        <v>#REF!</v>
      </c>
      <c r="W66" s="409"/>
      <c r="X66" s="400"/>
    </row>
    <row r="67" spans="1:28" ht="16.5" thickBot="1">
      <c r="D67" s="433" t="s">
        <v>405</v>
      </c>
      <c r="E67" s="434">
        <f>F65</f>
        <v>97.449999999999989</v>
      </c>
      <c r="U67" s="431" t="s">
        <v>406</v>
      </c>
      <c r="V67" s="435" t="e">
        <f>X52+#REF!+#REF!+#REF!+#REF!+W63</f>
        <v>#REF!</v>
      </c>
    </row>
    <row r="71" spans="1:28">
      <c r="U71" s="385" t="s">
        <v>407</v>
      </c>
      <c r="V71" s="386" t="e">
        <f>#REF!+#REF!+#REF!+#REF!</f>
        <v>#REF!</v>
      </c>
    </row>
    <row r="72" spans="1:28">
      <c r="E72" s="433" t="s">
        <v>495</v>
      </c>
      <c r="F72" s="486" t="s">
        <v>496</v>
      </c>
      <c r="G72" s="486" t="s">
        <v>497</v>
      </c>
      <c r="U72" s="385" t="s">
        <v>408</v>
      </c>
      <c r="V72" s="386" t="e">
        <f>#REF!+#REF!+#REF!+#REF!</f>
        <v>#REF!</v>
      </c>
    </row>
    <row r="73" spans="1:28">
      <c r="F73" s="386">
        <v>5.17</v>
      </c>
      <c r="G73" s="386">
        <v>6.65</v>
      </c>
      <c r="U73" s="385" t="s">
        <v>409</v>
      </c>
      <c r="V73" s="386" t="e">
        <f>#REF!+#REF!+#REF!+#REF!</f>
        <v>#REF!</v>
      </c>
    </row>
    <row r="74" spans="1:28">
      <c r="F74" s="386">
        <v>3.82</v>
      </c>
      <c r="G74" s="386">
        <v>4.5199999999999996</v>
      </c>
      <c r="U74" s="385" t="s">
        <v>410</v>
      </c>
      <c r="V74" s="386" t="e">
        <f>#REF!+#REF!+#REF!+#REF!</f>
        <v>#REF!</v>
      </c>
    </row>
    <row r="75" spans="1:28">
      <c r="F75" s="386">
        <v>9.26</v>
      </c>
      <c r="U75" s="385" t="s">
        <v>411</v>
      </c>
      <c r="V75" s="386" t="e">
        <f>#REF!+#REF!+#REF!+#REF!</f>
        <v>#REF!</v>
      </c>
    </row>
    <row r="76" spans="1:28">
      <c r="U76" s="385" t="s">
        <v>412</v>
      </c>
      <c r="V76" s="386" t="e">
        <f>#REF!+#REF!+#REF!+#REF!</f>
        <v>#REF!</v>
      </c>
    </row>
    <row r="77" spans="1:28">
      <c r="E77" s="385" t="s">
        <v>498</v>
      </c>
      <c r="F77" s="386">
        <f>SUM(F73:F76)</f>
        <v>18.25</v>
      </c>
      <c r="G77" s="386">
        <f>SUM(G73:G76)</f>
        <v>11.17</v>
      </c>
      <c r="U77" s="385" t="s">
        <v>413</v>
      </c>
      <c r="V77" s="386" t="e">
        <f>#REF!+#REF!+#REF!+#REF!</f>
        <v>#REF!</v>
      </c>
    </row>
    <row r="78" spans="1:28" s="386" customFormat="1">
      <c r="A78" s="87"/>
      <c r="B78" s="87"/>
      <c r="C78" s="385"/>
      <c r="D78" s="385"/>
      <c r="E78" s="385" t="s">
        <v>8</v>
      </c>
      <c r="F78" s="386">
        <f>F77+G77</f>
        <v>29.42</v>
      </c>
      <c r="U78" s="385" t="s">
        <v>414</v>
      </c>
      <c r="V78" s="386" t="e">
        <f>#REF!+#REF!+#REF!+#REF!</f>
        <v>#REF!</v>
      </c>
      <c r="X78" s="87"/>
      <c r="Y78" s="87"/>
      <c r="AB78" s="87"/>
    </row>
    <row r="79" spans="1:28" s="386" customFormat="1">
      <c r="A79" s="87"/>
      <c r="B79" s="87"/>
      <c r="C79" s="385"/>
      <c r="D79" s="385"/>
      <c r="E79" s="385" t="s">
        <v>499</v>
      </c>
      <c r="F79" s="386">
        <v>3</v>
      </c>
      <c r="U79" s="385"/>
      <c r="X79" s="87"/>
      <c r="Y79" s="87"/>
      <c r="AB79" s="87"/>
    </row>
    <row r="80" spans="1:28" s="386" customFormat="1">
      <c r="A80" s="87"/>
      <c r="B80" s="87"/>
      <c r="C80" s="385"/>
      <c r="D80" s="385"/>
      <c r="E80" s="385" t="s">
        <v>500</v>
      </c>
      <c r="F80" s="386">
        <f>F79*F78</f>
        <v>88.26</v>
      </c>
      <c r="U80" s="385"/>
      <c r="X80" s="87"/>
      <c r="Y80" s="87"/>
      <c r="AB80" s="87"/>
    </row>
    <row r="81" spans="1:28" s="386" customFormat="1">
      <c r="A81" s="87"/>
      <c r="B81" s="87"/>
      <c r="C81" s="385"/>
      <c r="D81" s="385"/>
      <c r="E81" s="385" t="s">
        <v>501</v>
      </c>
      <c r="U81" s="385"/>
      <c r="X81" s="87"/>
      <c r="Y81" s="87"/>
      <c r="AB81" s="87"/>
    </row>
    <row r="82" spans="1:28" s="386" customFormat="1">
      <c r="A82" s="87"/>
      <c r="B82" s="87"/>
      <c r="C82" s="385"/>
      <c r="D82" s="385"/>
      <c r="E82" s="385" t="s">
        <v>503</v>
      </c>
      <c r="F82" s="386">
        <f>10*1.05*2</f>
        <v>21</v>
      </c>
      <c r="U82" s="385"/>
      <c r="X82" s="87"/>
      <c r="Y82" s="87"/>
      <c r="AB82" s="87"/>
    </row>
    <row r="83" spans="1:28" s="386" customFormat="1">
      <c r="A83" s="87"/>
      <c r="B83" s="87"/>
      <c r="C83" s="385"/>
      <c r="D83" s="385"/>
      <c r="E83" s="385" t="s">
        <v>502</v>
      </c>
      <c r="F83" s="386">
        <f>F80-F81+F82</f>
        <v>109.26</v>
      </c>
      <c r="U83" s="385"/>
      <c r="X83" s="87"/>
      <c r="Y83" s="87"/>
      <c r="AB83" s="87"/>
    </row>
    <row r="84" spans="1:28" s="386" customFormat="1">
      <c r="A84" s="87"/>
      <c r="B84" s="87"/>
      <c r="C84" s="385"/>
      <c r="D84" s="385"/>
      <c r="E84" s="385"/>
      <c r="U84" s="385"/>
      <c r="X84" s="87"/>
      <c r="Y84" s="87"/>
      <c r="AB84" s="87"/>
    </row>
    <row r="86" spans="1:28">
      <c r="C86" s="433" t="s">
        <v>683</v>
      </c>
    </row>
    <row r="87" spans="1:28">
      <c r="C87" s="385" t="s">
        <v>689</v>
      </c>
      <c r="D87" s="385">
        <v>1.2</v>
      </c>
    </row>
    <row r="88" spans="1:28">
      <c r="C88" s="385" t="s">
        <v>690</v>
      </c>
      <c r="D88" s="385">
        <v>2.7</v>
      </c>
    </row>
    <row r="89" spans="1:28">
      <c r="C89" s="385" t="s">
        <v>691</v>
      </c>
      <c r="D89" s="385">
        <v>0.15</v>
      </c>
    </row>
    <row r="90" spans="1:28">
      <c r="C90" s="385" t="s">
        <v>8</v>
      </c>
      <c r="D90" s="385">
        <f>D87*D88*D89</f>
        <v>0.48599999999999999</v>
      </c>
      <c r="E90" s="516" t="s">
        <v>4</v>
      </c>
    </row>
    <row r="91" spans="1:28">
      <c r="C91" s="385" t="s">
        <v>500</v>
      </c>
      <c r="D91" s="385">
        <f>D87*D88</f>
        <v>3.24</v>
      </c>
    </row>
  </sheetData>
  <mergeCells count="4">
    <mergeCell ref="U51:V51"/>
    <mergeCell ref="R51:T51"/>
    <mergeCell ref="I51:L51"/>
    <mergeCell ref="G27:J27"/>
  </mergeCells>
  <conditionalFormatting sqref="E67">
    <cfRule type="cellIs" dxfId="295" priority="1" stopIfTrue="1" operator="notEqual">
      <formula>$D$65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215"/>
  <sheetViews>
    <sheetView view="pageBreakPreview" topLeftCell="A29" zoomScaleNormal="100" zoomScaleSheetLayoutView="100" workbookViewId="0">
      <selection activeCell="F43" sqref="F43"/>
    </sheetView>
  </sheetViews>
  <sheetFormatPr defaultRowHeight="12.75"/>
  <cols>
    <col min="2" max="2" width="14.140625" customWidth="1"/>
    <col min="3" max="3" width="16.5703125" customWidth="1"/>
    <col min="4" max="4" width="55.7109375" customWidth="1"/>
    <col min="5" max="5" width="10.5703125" customWidth="1"/>
    <col min="6" max="6" width="12" bestFit="1" customWidth="1"/>
    <col min="7" max="7" width="13.85546875" customWidth="1"/>
    <col min="8" max="8" width="13" customWidth="1"/>
  </cols>
  <sheetData>
    <row r="1" spans="1:8" ht="25.5">
      <c r="A1" s="629" t="s">
        <v>13</v>
      </c>
      <c r="B1" s="630"/>
      <c r="C1" s="630"/>
      <c r="D1" s="630"/>
      <c r="E1" s="22"/>
      <c r="F1" s="5"/>
      <c r="G1" s="573"/>
      <c r="H1" s="574"/>
    </row>
    <row r="2" spans="1:8" ht="25.5">
      <c r="A2" s="631" t="s">
        <v>717</v>
      </c>
      <c r="B2" s="632"/>
      <c r="C2" s="632"/>
      <c r="D2" s="632"/>
      <c r="E2" s="280" t="s">
        <v>162</v>
      </c>
      <c r="F2" s="281">
        <f ca="1">NOW()</f>
        <v>43108.574844560186</v>
      </c>
      <c r="G2" s="571"/>
      <c r="H2" s="575"/>
    </row>
    <row r="3" spans="1:8" ht="15.75">
      <c r="A3" s="633" t="s">
        <v>164</v>
      </c>
      <c r="B3" s="634"/>
      <c r="C3" s="634"/>
      <c r="D3" s="634"/>
      <c r="E3" s="634"/>
      <c r="F3" s="6"/>
      <c r="G3" s="571"/>
      <c r="H3" s="575"/>
    </row>
    <row r="4" spans="1:8" ht="15.75">
      <c r="A4" s="27" t="s">
        <v>5</v>
      </c>
      <c r="B4" s="28"/>
      <c r="C4" s="29"/>
      <c r="D4" s="30"/>
      <c r="E4" s="640" t="s">
        <v>7</v>
      </c>
      <c r="F4" s="640"/>
      <c r="G4" s="571"/>
      <c r="H4" s="575"/>
    </row>
    <row r="5" spans="1:8" ht="20.45" customHeight="1">
      <c r="A5" s="635" t="str">
        <f>SERVIÇOS!A5</f>
        <v>Construção da Coordenadoria de Tecnologias Educacionais da SEAD</v>
      </c>
      <c r="B5" s="636"/>
      <c r="C5" s="636"/>
      <c r="D5" s="636"/>
      <c r="E5" s="637" t="str">
        <f>SERVIÇOS!D5</f>
        <v>SETEMBRO/2017</v>
      </c>
      <c r="F5" s="637"/>
      <c r="G5" s="571"/>
      <c r="H5" s="575"/>
    </row>
    <row r="6" spans="1:8" ht="15.75">
      <c r="A6" s="638" t="s">
        <v>6</v>
      </c>
      <c r="B6" s="639"/>
      <c r="C6" s="639"/>
      <c r="D6" s="49"/>
      <c r="E6" s="640" t="s">
        <v>9</v>
      </c>
      <c r="F6" s="640"/>
      <c r="G6" s="571"/>
      <c r="H6" s="575"/>
    </row>
    <row r="7" spans="1:8" ht="16.5" thickBot="1">
      <c r="A7" s="576" t="str">
        <f>SERVIÇOS!A7</f>
        <v>Campus da Federação Universidade Federal da Bahia, Salvador - Bahia</v>
      </c>
      <c r="B7" s="577"/>
      <c r="C7" s="577"/>
      <c r="D7" s="112"/>
      <c r="E7" s="648">
        <f>SERVIÇOS!D7</f>
        <v>97.449999999999989</v>
      </c>
      <c r="F7" s="648"/>
      <c r="G7" s="578"/>
      <c r="H7" s="579"/>
    </row>
    <row r="8" spans="1:8" ht="13.5" thickBot="1"/>
    <row r="9" spans="1:8" ht="24">
      <c r="C9" s="580">
        <v>88262</v>
      </c>
      <c r="D9" s="581" t="s">
        <v>242</v>
      </c>
      <c r="E9" s="582">
        <v>21.67</v>
      </c>
    </row>
    <row r="10" spans="1:8" ht="24">
      <c r="C10" s="583">
        <v>88261</v>
      </c>
      <c r="D10" s="363" t="s">
        <v>661</v>
      </c>
      <c r="E10" s="584">
        <v>21.47</v>
      </c>
    </row>
    <row r="11" spans="1:8" ht="24">
      <c r="C11" s="583">
        <v>88239</v>
      </c>
      <c r="D11" s="363" t="s">
        <v>521</v>
      </c>
      <c r="E11" s="584">
        <v>17.61</v>
      </c>
    </row>
    <row r="12" spans="1:8">
      <c r="C12" s="583">
        <v>88309</v>
      </c>
      <c r="D12" s="363" t="s">
        <v>243</v>
      </c>
      <c r="E12" s="584">
        <v>21.79</v>
      </c>
    </row>
    <row r="13" spans="1:8">
      <c r="C13" s="583">
        <v>88316</v>
      </c>
      <c r="D13" s="363" t="s">
        <v>240</v>
      </c>
      <c r="E13" s="584">
        <v>15.02</v>
      </c>
    </row>
    <row r="14" spans="1:8">
      <c r="C14" s="583">
        <v>88441</v>
      </c>
      <c r="D14" s="363" t="s">
        <v>250</v>
      </c>
      <c r="E14" s="585">
        <v>17.63</v>
      </c>
    </row>
    <row r="15" spans="1:8">
      <c r="C15" s="583">
        <v>88315</v>
      </c>
      <c r="D15" s="363" t="s">
        <v>378</v>
      </c>
      <c r="E15" s="585">
        <v>20.74</v>
      </c>
    </row>
    <row r="16" spans="1:8" ht="24">
      <c r="C16" s="583">
        <v>88267</v>
      </c>
      <c r="D16" s="363" t="s">
        <v>344</v>
      </c>
      <c r="E16" s="585">
        <v>21.75</v>
      </c>
    </row>
    <row r="17" spans="1:8" ht="24">
      <c r="C17" s="583">
        <v>88248</v>
      </c>
      <c r="D17" s="363" t="s">
        <v>658</v>
      </c>
      <c r="E17" s="585">
        <v>17.64</v>
      </c>
    </row>
    <row r="18" spans="1:8">
      <c r="C18" s="583">
        <v>88264</v>
      </c>
      <c r="D18" s="363" t="s">
        <v>269</v>
      </c>
      <c r="E18" s="585">
        <v>22</v>
      </c>
    </row>
    <row r="19" spans="1:8" ht="24">
      <c r="C19" s="583">
        <v>88247</v>
      </c>
      <c r="D19" s="363" t="s">
        <v>268</v>
      </c>
      <c r="E19" s="585">
        <v>17.829999999999998</v>
      </c>
    </row>
    <row r="20" spans="1:8" ht="24">
      <c r="C20" s="586">
        <v>88278</v>
      </c>
      <c r="D20" s="587" t="s">
        <v>639</v>
      </c>
      <c r="E20" s="585">
        <v>19.18</v>
      </c>
    </row>
    <row r="21" spans="1:8" ht="24.75" thickBot="1">
      <c r="C21" s="588">
        <v>88240</v>
      </c>
      <c r="D21" s="589" t="s">
        <v>640</v>
      </c>
      <c r="E21" s="590">
        <v>14.09</v>
      </c>
    </row>
    <row r="22" spans="1:8" ht="13.5" thickBot="1">
      <c r="C22" s="362"/>
      <c r="D22" s="363"/>
      <c r="E22" s="364"/>
    </row>
    <row r="23" spans="1:8" ht="18.75" thickBot="1">
      <c r="A23" s="649" t="str">
        <f>SERVIÇOS!C62</f>
        <v>REVESTIMENTOS</v>
      </c>
      <c r="B23" s="650"/>
      <c r="C23" s="650"/>
      <c r="D23" s="650"/>
      <c r="E23" s="650"/>
      <c r="F23" s="650"/>
      <c r="G23" s="650"/>
      <c r="H23" s="651"/>
    </row>
    <row r="25" spans="1:8" ht="36">
      <c r="A25" s="346" t="str">
        <f>SERVIÇOS!A71</f>
        <v>6.9</v>
      </c>
      <c r="B25" s="346"/>
      <c r="C25" s="346"/>
      <c r="D25" s="345" t="s">
        <v>523</v>
      </c>
      <c r="E25" s="346" t="s">
        <v>1</v>
      </c>
      <c r="F25" s="346" t="s">
        <v>244</v>
      </c>
      <c r="G25" s="346" t="s">
        <v>245</v>
      </c>
      <c r="H25" s="346" t="s">
        <v>246</v>
      </c>
    </row>
    <row r="26" spans="1:8">
      <c r="A26" s="346"/>
      <c r="B26" s="346" t="s">
        <v>256</v>
      </c>
      <c r="C26" s="346" t="s">
        <v>520</v>
      </c>
      <c r="D26" s="345" t="s">
        <v>519</v>
      </c>
      <c r="E26" s="346" t="s">
        <v>1</v>
      </c>
      <c r="F26" s="346">
        <v>1.05</v>
      </c>
      <c r="G26" s="347">
        <v>82.88</v>
      </c>
      <c r="H26" s="346">
        <f>F26*G26</f>
        <v>87.024000000000001</v>
      </c>
    </row>
    <row r="27" spans="1:8" ht="24">
      <c r="A27" s="346"/>
      <c r="B27" s="346" t="s">
        <v>258</v>
      </c>
      <c r="C27" s="346" t="s">
        <v>525</v>
      </c>
      <c r="D27" s="345" t="s">
        <v>524</v>
      </c>
      <c r="E27" s="346" t="s">
        <v>1</v>
      </c>
      <c r="F27" s="346">
        <v>1.05</v>
      </c>
      <c r="G27" s="347">
        <v>20</v>
      </c>
      <c r="H27" s="346">
        <f>F27*G27</f>
        <v>21</v>
      </c>
    </row>
    <row r="28" spans="1:8" ht="24">
      <c r="A28" s="346"/>
      <c r="B28" s="346" t="s">
        <v>161</v>
      </c>
      <c r="C28" s="346">
        <v>88261</v>
      </c>
      <c r="D28" s="345" t="s">
        <v>522</v>
      </c>
      <c r="E28" s="346" t="s">
        <v>239</v>
      </c>
      <c r="F28" s="346">
        <v>0.5</v>
      </c>
      <c r="G28" s="347">
        <f>$E$10</f>
        <v>21.47</v>
      </c>
      <c r="H28" s="346">
        <f>F28*G28</f>
        <v>10.734999999999999</v>
      </c>
    </row>
    <row r="29" spans="1:8" ht="24">
      <c r="A29" s="346"/>
      <c r="B29" s="346" t="s">
        <v>161</v>
      </c>
      <c r="C29" s="346">
        <v>88239</v>
      </c>
      <c r="D29" s="345" t="s">
        <v>521</v>
      </c>
      <c r="E29" s="346" t="s">
        <v>239</v>
      </c>
      <c r="F29" s="346">
        <f>F28</f>
        <v>0.5</v>
      </c>
      <c r="G29" s="347">
        <f>$E$11</f>
        <v>17.61</v>
      </c>
      <c r="H29" s="346">
        <f>F29*G29</f>
        <v>8.8049999999999997</v>
      </c>
    </row>
    <row r="30" spans="1:8">
      <c r="A30" s="348"/>
      <c r="B30" s="355"/>
      <c r="C30" s="356"/>
      <c r="D30" s="361"/>
      <c r="E30" s="348"/>
      <c r="F30" s="348"/>
      <c r="G30" s="346" t="s">
        <v>248</v>
      </c>
      <c r="H30" s="347">
        <f>SUM(H26:H29)</f>
        <v>127.56399999999999</v>
      </c>
    </row>
    <row r="31" spans="1:8" ht="13.5" thickBot="1"/>
    <row r="32" spans="1:8" ht="18.75" thickBot="1">
      <c r="A32" s="649" t="str">
        <f>SERVIÇOS!C72</f>
        <v>FORRO</v>
      </c>
      <c r="B32" s="650"/>
      <c r="C32" s="650"/>
      <c r="D32" s="650"/>
      <c r="E32" s="650"/>
      <c r="F32" s="650"/>
      <c r="G32" s="650"/>
      <c r="H32" s="651"/>
    </row>
    <row r="34" spans="1:8" ht="24">
      <c r="A34" s="346" t="str">
        <f>SERVIÇOS!A77</f>
        <v>7.5</v>
      </c>
      <c r="B34" s="346"/>
      <c r="C34" s="346"/>
      <c r="D34" s="345" t="str">
        <f>SERVIÇOS!C77</f>
        <v>FORRO SISTEMA DRYWALL CONFORME ESPECIFICAÇÃO (FI.01)</v>
      </c>
      <c r="E34" s="346" t="s">
        <v>1</v>
      </c>
      <c r="F34" s="346" t="s">
        <v>244</v>
      </c>
      <c r="G34" s="346" t="s">
        <v>245</v>
      </c>
      <c r="H34" s="346" t="s">
        <v>246</v>
      </c>
    </row>
    <row r="35" spans="1:8">
      <c r="A35" s="346"/>
      <c r="B35" s="346" t="s">
        <v>258</v>
      </c>
      <c r="C35" s="346" t="s">
        <v>565</v>
      </c>
      <c r="D35" s="345" t="s">
        <v>795</v>
      </c>
      <c r="E35" s="346" t="s">
        <v>1</v>
      </c>
      <c r="F35" s="495">
        <v>1.05</v>
      </c>
      <c r="G35" s="495">
        <v>30.03</v>
      </c>
      <c r="H35" s="346">
        <f>F35*G35</f>
        <v>31.531500000000001</v>
      </c>
    </row>
    <row r="36" spans="1:8">
      <c r="A36" s="346"/>
      <c r="B36" s="346" t="s">
        <v>258</v>
      </c>
      <c r="C36" s="346" t="s">
        <v>288</v>
      </c>
      <c r="D36" s="500" t="s">
        <v>566</v>
      </c>
      <c r="E36" s="346" t="s">
        <v>1</v>
      </c>
      <c r="F36" s="495">
        <f>2*F35</f>
        <v>2.1</v>
      </c>
      <c r="G36" s="495">
        <v>11.34</v>
      </c>
      <c r="H36" s="346">
        <f t="shared" ref="H36:H41" si="0">F36*G36</f>
        <v>23.814</v>
      </c>
    </row>
    <row r="37" spans="1:8">
      <c r="A37" s="346"/>
      <c r="B37" s="346" t="s">
        <v>258</v>
      </c>
      <c r="C37" s="346" t="s">
        <v>520</v>
      </c>
      <c r="D37" s="345" t="s">
        <v>519</v>
      </c>
      <c r="E37" s="346" t="s">
        <v>1</v>
      </c>
      <c r="F37" s="495">
        <f>F35/2</f>
        <v>0.52500000000000002</v>
      </c>
      <c r="G37" s="495">
        <v>82.88</v>
      </c>
      <c r="H37" s="346">
        <f t="shared" si="0"/>
        <v>43.512</v>
      </c>
    </row>
    <row r="38" spans="1:8" ht="36">
      <c r="A38" s="346"/>
      <c r="B38" s="346" t="s">
        <v>161</v>
      </c>
      <c r="C38" s="346" t="s">
        <v>794</v>
      </c>
      <c r="D38" s="500" t="str">
        <f>UPPER("Forro de gesso acartonado, cor branca, placa 1243 x 618mm, marca GYPSUM, modelo FGE ou similar, instalado")</f>
        <v>FORRO DE GESSO ACARTONADO, COR BRANCA, PLACA 1243 X 618MM, MARCA GYPSUM, MODELO FGE OU SIMILAR, INSTALADO</v>
      </c>
      <c r="E38" s="346" t="s">
        <v>1</v>
      </c>
      <c r="F38" s="495">
        <f>F35</f>
        <v>1.05</v>
      </c>
      <c r="G38" s="495">
        <v>72.33</v>
      </c>
      <c r="H38" s="346">
        <f t="shared" si="0"/>
        <v>75.9465</v>
      </c>
    </row>
    <row r="39" spans="1:8">
      <c r="A39" s="346"/>
      <c r="B39" s="346" t="s">
        <v>161</v>
      </c>
      <c r="C39" s="346" t="s">
        <v>567</v>
      </c>
      <c r="D39" s="345" t="s">
        <v>568</v>
      </c>
      <c r="E39" s="346" t="s">
        <v>1</v>
      </c>
      <c r="F39" s="495">
        <f>F35</f>
        <v>1.05</v>
      </c>
      <c r="G39" s="495">
        <v>70</v>
      </c>
      <c r="H39" s="346">
        <f t="shared" si="0"/>
        <v>73.5</v>
      </c>
    </row>
    <row r="40" spans="1:8" ht="24">
      <c r="A40" s="346"/>
      <c r="B40" s="346" t="s">
        <v>161</v>
      </c>
      <c r="C40" s="346">
        <v>88261</v>
      </c>
      <c r="D40" s="345" t="s">
        <v>522</v>
      </c>
      <c r="E40" s="346" t="s">
        <v>239</v>
      </c>
      <c r="F40" s="346">
        <v>1</v>
      </c>
      <c r="G40" s="347">
        <f>$E$10</f>
        <v>21.47</v>
      </c>
      <c r="H40" s="346">
        <f t="shared" si="0"/>
        <v>21.47</v>
      </c>
    </row>
    <row r="41" spans="1:8" ht="24">
      <c r="A41" s="346"/>
      <c r="B41" s="346" t="s">
        <v>161</v>
      </c>
      <c r="C41" s="346">
        <v>88239</v>
      </c>
      <c r="D41" s="345" t="s">
        <v>521</v>
      </c>
      <c r="E41" s="346" t="s">
        <v>239</v>
      </c>
      <c r="F41" s="346">
        <v>1</v>
      </c>
      <c r="G41" s="347">
        <f>$E$11</f>
        <v>17.61</v>
      </c>
      <c r="H41" s="346">
        <f t="shared" si="0"/>
        <v>17.61</v>
      </c>
    </row>
    <row r="42" spans="1:8">
      <c r="A42" s="348"/>
      <c r="B42" s="355"/>
      <c r="C42" s="356"/>
      <c r="D42" s="361"/>
      <c r="E42" s="348"/>
      <c r="F42" s="348"/>
      <c r="G42" s="346" t="s">
        <v>248</v>
      </c>
      <c r="H42" s="347">
        <f>SUM(H35:H41)</f>
        <v>287.38400000000001</v>
      </c>
    </row>
    <row r="43" spans="1:8" ht="13.5" thickBot="1"/>
    <row r="44" spans="1:8" ht="18.75" thickBot="1">
      <c r="A44" s="649" t="str">
        <f>SERVIÇOS!C85</f>
        <v>ESQUADRIAS</v>
      </c>
      <c r="B44" s="650"/>
      <c r="C44" s="650"/>
      <c r="D44" s="650"/>
      <c r="E44" s="650"/>
      <c r="F44" s="650"/>
      <c r="G44" s="650"/>
      <c r="H44" s="651"/>
    </row>
    <row r="46" spans="1:8" ht="24">
      <c r="A46" s="346" t="str">
        <f>SERVIÇOS!A105</f>
        <v>9.17</v>
      </c>
      <c r="B46" s="346"/>
      <c r="C46" s="346"/>
      <c r="D46" s="345" t="s">
        <v>727</v>
      </c>
      <c r="E46" s="346" t="s">
        <v>1</v>
      </c>
      <c r="F46" s="346" t="s">
        <v>244</v>
      </c>
      <c r="G46" s="346" t="s">
        <v>245</v>
      </c>
      <c r="H46" s="346" t="s">
        <v>246</v>
      </c>
    </row>
    <row r="47" spans="1:8">
      <c r="A47" s="346"/>
      <c r="B47" s="346" t="s">
        <v>161</v>
      </c>
      <c r="C47" s="346" t="s">
        <v>729</v>
      </c>
      <c r="D47" s="345" t="s">
        <v>728</v>
      </c>
      <c r="E47" s="346" t="s">
        <v>17</v>
      </c>
      <c r="F47" s="495">
        <f>(1+1.8)*2*1.05</f>
        <v>5.88</v>
      </c>
      <c r="G47" s="495">
        <v>24.95</v>
      </c>
      <c r="H47" s="495">
        <f>F47*G47</f>
        <v>146.70599999999999</v>
      </c>
    </row>
    <row r="48" spans="1:8">
      <c r="A48" s="346"/>
      <c r="B48" s="346" t="s">
        <v>258</v>
      </c>
      <c r="C48" s="346">
        <v>10506</v>
      </c>
      <c r="D48" s="345" t="s">
        <v>730</v>
      </c>
      <c r="E48" s="346" t="s">
        <v>1</v>
      </c>
      <c r="F48" s="495">
        <f>1.8*1*1.1</f>
        <v>1.9800000000000002</v>
      </c>
      <c r="G48" s="495">
        <v>182.91</v>
      </c>
      <c r="H48" s="495">
        <f t="shared" ref="H48:H54" si="1">F48*G48</f>
        <v>362.16180000000003</v>
      </c>
    </row>
    <row r="49" spans="1:8" ht="36">
      <c r="A49" s="346"/>
      <c r="B49" s="346" t="s">
        <v>258</v>
      </c>
      <c r="C49" s="346">
        <v>10497</v>
      </c>
      <c r="D49" s="345" t="s">
        <v>736</v>
      </c>
      <c r="E49" s="346" t="s">
        <v>1</v>
      </c>
      <c r="F49" s="495">
        <f>F48</f>
        <v>1.9800000000000002</v>
      </c>
      <c r="G49" s="495">
        <v>750.53</v>
      </c>
      <c r="H49" s="495">
        <f t="shared" si="1"/>
        <v>1486.0494000000001</v>
      </c>
    </row>
    <row r="50" spans="1:8">
      <c r="A50" s="346"/>
      <c r="B50" s="346" t="s">
        <v>258</v>
      </c>
      <c r="C50" s="346" t="s">
        <v>735</v>
      </c>
      <c r="D50" s="345" t="s">
        <v>737</v>
      </c>
      <c r="E50" s="346" t="s">
        <v>2</v>
      </c>
      <c r="F50" s="495">
        <v>1</v>
      </c>
      <c r="G50" s="495">
        <v>12.55</v>
      </c>
      <c r="H50" s="495">
        <f t="shared" si="1"/>
        <v>12.55</v>
      </c>
    </row>
    <row r="51" spans="1:8">
      <c r="A51" s="346"/>
      <c r="B51" s="346" t="s">
        <v>258</v>
      </c>
      <c r="C51" s="346">
        <v>39961</v>
      </c>
      <c r="D51" s="345" t="s">
        <v>732</v>
      </c>
      <c r="E51" s="346" t="s">
        <v>2</v>
      </c>
      <c r="F51" s="495">
        <v>5</v>
      </c>
      <c r="G51" s="495">
        <v>10.23</v>
      </c>
      <c r="H51" s="495">
        <f t="shared" si="1"/>
        <v>51.150000000000006</v>
      </c>
    </row>
    <row r="52" spans="1:8" ht="24">
      <c r="A52" s="346"/>
      <c r="B52" s="346" t="s">
        <v>258</v>
      </c>
      <c r="C52" s="346" t="s">
        <v>734</v>
      </c>
      <c r="D52" s="345" t="s">
        <v>733</v>
      </c>
      <c r="E52" s="346" t="s">
        <v>731</v>
      </c>
      <c r="F52" s="495">
        <v>1</v>
      </c>
      <c r="G52" s="495">
        <v>58.11</v>
      </c>
      <c r="H52" s="495">
        <f t="shared" si="1"/>
        <v>58.11</v>
      </c>
    </row>
    <row r="53" spans="1:8" ht="24">
      <c r="A53" s="346"/>
      <c r="B53" s="346" t="s">
        <v>161</v>
      </c>
      <c r="C53" s="346">
        <v>88261</v>
      </c>
      <c r="D53" s="345" t="s">
        <v>522</v>
      </c>
      <c r="E53" s="346" t="s">
        <v>239</v>
      </c>
      <c r="F53" s="495">
        <v>8</v>
      </c>
      <c r="G53" s="495">
        <f>$E$10</f>
        <v>21.47</v>
      </c>
      <c r="H53" s="495">
        <f t="shared" si="1"/>
        <v>171.76</v>
      </c>
    </row>
    <row r="54" spans="1:8" ht="24">
      <c r="A54" s="346"/>
      <c r="B54" s="346" t="s">
        <v>161</v>
      </c>
      <c r="C54" s="346">
        <v>88239</v>
      </c>
      <c r="D54" s="345" t="s">
        <v>521</v>
      </c>
      <c r="E54" s="346" t="s">
        <v>239</v>
      </c>
      <c r="F54" s="495">
        <v>16</v>
      </c>
      <c r="G54" s="495">
        <f>$E$11</f>
        <v>17.61</v>
      </c>
      <c r="H54" s="495">
        <f t="shared" si="1"/>
        <v>281.76</v>
      </c>
    </row>
    <row r="55" spans="1:8">
      <c r="A55" s="348"/>
      <c r="B55" s="355"/>
      <c r="C55" s="356"/>
      <c r="D55" s="361"/>
      <c r="E55" s="348"/>
      <c r="F55" s="348"/>
      <c r="G55" s="346" t="s">
        <v>248</v>
      </c>
      <c r="H55" s="347">
        <f>SUM(H47:H54)</f>
        <v>2570.2472000000007</v>
      </c>
    </row>
    <row r="56" spans="1:8" ht="13.5" thickBot="1"/>
    <row r="57" spans="1:8" ht="18.75" thickBot="1">
      <c r="A57" s="649" t="str">
        <f>SERVIÇOS!C106</f>
        <v>LOUÇAS E METAIS</v>
      </c>
      <c r="B57" s="650"/>
      <c r="C57" s="650"/>
      <c r="D57" s="650"/>
      <c r="E57" s="650"/>
      <c r="F57" s="650"/>
      <c r="G57" s="650"/>
      <c r="H57" s="651"/>
    </row>
    <row r="59" spans="1:8" ht="24">
      <c r="A59" s="346" t="str">
        <f>SERVIÇOS!A111</f>
        <v>10.5</v>
      </c>
      <c r="B59" s="346"/>
      <c r="C59" s="346"/>
      <c r="D59" s="345" t="s">
        <v>357</v>
      </c>
      <c r="E59" s="346" t="s">
        <v>2</v>
      </c>
      <c r="F59" s="346" t="s">
        <v>244</v>
      </c>
      <c r="G59" s="346" t="s">
        <v>245</v>
      </c>
      <c r="H59" s="346" t="s">
        <v>246</v>
      </c>
    </row>
    <row r="60" spans="1:8" ht="24">
      <c r="A60" s="346"/>
      <c r="B60" s="346" t="s">
        <v>258</v>
      </c>
      <c r="C60" s="346">
        <v>12760</v>
      </c>
      <c r="D60" s="345" t="s">
        <v>363</v>
      </c>
      <c r="E60" s="346" t="s">
        <v>1</v>
      </c>
      <c r="F60" s="346">
        <f>0.9*0.4</f>
        <v>0.36000000000000004</v>
      </c>
      <c r="G60" s="347">
        <v>719.78</v>
      </c>
      <c r="H60" s="346">
        <f>F60*G60</f>
        <v>259.12080000000003</v>
      </c>
    </row>
    <row r="61" spans="1:8">
      <c r="A61" s="346"/>
      <c r="B61" s="346" t="s">
        <v>247</v>
      </c>
      <c r="C61" s="346">
        <v>88309</v>
      </c>
      <c r="D61" s="345" t="s">
        <v>243</v>
      </c>
      <c r="E61" s="346" t="s">
        <v>239</v>
      </c>
      <c r="F61" s="346">
        <v>1</v>
      </c>
      <c r="G61" s="347">
        <f>$E$12</f>
        <v>21.79</v>
      </c>
      <c r="H61" s="346">
        <f>F61*G61</f>
        <v>21.79</v>
      </c>
    </row>
    <row r="62" spans="1:8">
      <c r="A62" s="348"/>
      <c r="B62" s="355"/>
      <c r="C62" s="356"/>
      <c r="D62" s="361"/>
      <c r="E62" s="348"/>
      <c r="F62" s="348"/>
      <c r="G62" s="346" t="s">
        <v>248</v>
      </c>
      <c r="H62" s="347">
        <f>SUM(H60:H61)</f>
        <v>280.91080000000005</v>
      </c>
    </row>
    <row r="64" spans="1:8">
      <c r="A64" s="346" t="str">
        <f>SERVIÇOS!A116</f>
        <v>10.10</v>
      </c>
      <c r="B64" s="346"/>
      <c r="C64" s="346"/>
      <c r="D64" s="345" t="s">
        <v>358</v>
      </c>
      <c r="E64" s="346" t="s">
        <v>2</v>
      </c>
      <c r="F64" s="346" t="s">
        <v>244</v>
      </c>
      <c r="G64" s="346" t="s">
        <v>245</v>
      </c>
      <c r="H64" s="346" t="s">
        <v>246</v>
      </c>
    </row>
    <row r="65" spans="1:8" ht="24">
      <c r="A65" s="346"/>
      <c r="B65" s="346" t="s">
        <v>258</v>
      </c>
      <c r="C65" s="346">
        <v>36205</v>
      </c>
      <c r="D65" s="345" t="s">
        <v>364</v>
      </c>
      <c r="E65" s="346" t="s">
        <v>2</v>
      </c>
      <c r="F65" s="346">
        <v>1</v>
      </c>
      <c r="G65" s="347">
        <v>116.67</v>
      </c>
      <c r="H65" s="346">
        <f>F65*G65</f>
        <v>116.67</v>
      </c>
    </row>
    <row r="66" spans="1:8">
      <c r="A66" s="346"/>
      <c r="B66" s="346" t="s">
        <v>247</v>
      </c>
      <c r="C66" s="346">
        <v>88309</v>
      </c>
      <c r="D66" s="345" t="s">
        <v>243</v>
      </c>
      <c r="E66" s="346" t="s">
        <v>239</v>
      </c>
      <c r="F66" s="346">
        <v>1</v>
      </c>
      <c r="G66" s="347">
        <f>E12</f>
        <v>21.79</v>
      </c>
      <c r="H66" s="346">
        <f>F66*G66</f>
        <v>21.79</v>
      </c>
    </row>
    <row r="67" spans="1:8">
      <c r="A67" s="348"/>
      <c r="B67" s="355"/>
      <c r="C67" s="356"/>
      <c r="D67" s="361"/>
      <c r="E67" s="348"/>
      <c r="F67" s="348"/>
      <c r="G67" s="346" t="s">
        <v>248</v>
      </c>
      <c r="H67" s="347">
        <f>SUM(H65:H66)</f>
        <v>138.46</v>
      </c>
    </row>
    <row r="69" spans="1:8" ht="48">
      <c r="A69" s="346" t="str">
        <f>SERVIÇOS!A112</f>
        <v>10.6</v>
      </c>
      <c r="B69" s="346"/>
      <c r="C69" s="346"/>
      <c r="D69" s="345" t="s">
        <v>359</v>
      </c>
      <c r="E69" s="346" t="s">
        <v>2</v>
      </c>
      <c r="F69" s="346" t="s">
        <v>244</v>
      </c>
      <c r="G69" s="346" t="s">
        <v>245</v>
      </c>
      <c r="H69" s="346" t="s">
        <v>246</v>
      </c>
    </row>
    <row r="70" spans="1:8">
      <c r="A70" s="346"/>
      <c r="B70" s="346" t="s">
        <v>258</v>
      </c>
      <c r="C70" s="346" t="s">
        <v>367</v>
      </c>
      <c r="D70" s="345" t="s">
        <v>365</v>
      </c>
      <c r="E70" s="346" t="s">
        <v>17</v>
      </c>
      <c r="F70" s="346">
        <v>0.5</v>
      </c>
      <c r="G70" s="346">
        <v>0.18</v>
      </c>
      <c r="H70" s="346">
        <f>F70*G70</f>
        <v>0.09</v>
      </c>
    </row>
    <row r="71" spans="1:8" ht="24">
      <c r="A71" s="346"/>
      <c r="B71" s="346" t="s">
        <v>258</v>
      </c>
      <c r="C71" s="346" t="s">
        <v>558</v>
      </c>
      <c r="D71" s="491" t="str">
        <f>UPPER("TORNEIRA DE MESA COM FECHAMENTO AUTOMÁTICO PARA LAVATÓRIO DECAMATIC ECO 1173.C.CONF DECA")</f>
        <v>TORNEIRA DE MESA COM FECHAMENTO AUTOMÁTICO PARA LAVATÓRIO DECAMATIC ECO 1173.C.CONF DECA</v>
      </c>
      <c r="E71" s="346" t="s">
        <v>2</v>
      </c>
      <c r="F71" s="346">
        <v>1</v>
      </c>
      <c r="G71" s="346">
        <f>491.4+20.56</f>
        <v>511.96</v>
      </c>
      <c r="H71" s="346">
        <f>F71*G71</f>
        <v>511.96</v>
      </c>
    </row>
    <row r="72" spans="1:8" ht="24">
      <c r="A72" s="346"/>
      <c r="B72" s="346" t="s">
        <v>161</v>
      </c>
      <c r="C72" s="346">
        <v>88267</v>
      </c>
      <c r="D72" s="345" t="s">
        <v>344</v>
      </c>
      <c r="E72" s="346" t="s">
        <v>239</v>
      </c>
      <c r="F72" s="346">
        <v>0.5</v>
      </c>
      <c r="G72" s="347">
        <f>$E$16</f>
        <v>21.75</v>
      </c>
      <c r="H72" s="346">
        <f>F72*G72</f>
        <v>10.875</v>
      </c>
    </row>
    <row r="73" spans="1:8">
      <c r="A73" s="346"/>
      <c r="B73" s="346" t="s">
        <v>161</v>
      </c>
      <c r="C73" s="346">
        <v>88316</v>
      </c>
      <c r="D73" s="345" t="s">
        <v>240</v>
      </c>
      <c r="E73" s="346" t="s">
        <v>239</v>
      </c>
      <c r="F73" s="346">
        <v>0.5</v>
      </c>
      <c r="G73" s="347">
        <f>$E$13</f>
        <v>15.02</v>
      </c>
      <c r="H73" s="346">
        <f>F73*G73</f>
        <v>7.51</v>
      </c>
    </row>
    <row r="74" spans="1:8">
      <c r="A74" s="348"/>
      <c r="B74" s="355"/>
      <c r="C74" s="356"/>
      <c r="D74" s="361"/>
      <c r="E74" s="348"/>
      <c r="F74" s="348"/>
      <c r="G74" s="346" t="s">
        <v>248</v>
      </c>
      <c r="H74" s="347">
        <f>SUM(H70:H73)</f>
        <v>530.43499999999995</v>
      </c>
    </row>
    <row r="76" spans="1:8" ht="24">
      <c r="A76" s="346" t="str">
        <f>SERVIÇOS!A113</f>
        <v>10.7</v>
      </c>
      <c r="B76" s="346"/>
      <c r="C76" s="346"/>
      <c r="D76" s="345" t="s">
        <v>381</v>
      </c>
      <c r="E76" s="346" t="s">
        <v>2</v>
      </c>
      <c r="F76" s="346" t="s">
        <v>244</v>
      </c>
      <c r="G76" s="346" t="s">
        <v>245</v>
      </c>
      <c r="H76" s="346" t="s">
        <v>246</v>
      </c>
    </row>
    <row r="77" spans="1:8" ht="24">
      <c r="A77" s="346"/>
      <c r="B77" s="346" t="s">
        <v>258</v>
      </c>
      <c r="C77" s="346" t="s">
        <v>557</v>
      </c>
      <c r="D77" s="491" t="str">
        <f>UPPER("Barra de apoio em aço inox polido, l=40 cm, d=38.1 mm")</f>
        <v>BARRA DE APOIO EM AÇO INOX POLIDO, L=40 CM, D=38.1 MM</v>
      </c>
      <c r="E77" s="346" t="s">
        <v>2</v>
      </c>
      <c r="F77" s="346">
        <v>1</v>
      </c>
      <c r="G77" s="347">
        <v>159.9</v>
      </c>
      <c r="H77" s="346">
        <f>F77*G77</f>
        <v>159.9</v>
      </c>
    </row>
    <row r="78" spans="1:8">
      <c r="A78" s="346"/>
      <c r="B78" s="346" t="s">
        <v>247</v>
      </c>
      <c r="C78" s="346">
        <v>88309</v>
      </c>
      <c r="D78" s="345" t="s">
        <v>243</v>
      </c>
      <c r="E78" s="346" t="s">
        <v>239</v>
      </c>
      <c r="F78" s="346">
        <v>0.3</v>
      </c>
      <c r="G78" s="347">
        <f>$E$12</f>
        <v>21.79</v>
      </c>
      <c r="H78" s="346">
        <f>F78*G78</f>
        <v>6.5369999999999999</v>
      </c>
    </row>
    <row r="79" spans="1:8">
      <c r="A79" s="348"/>
      <c r="B79" s="355"/>
      <c r="C79" s="356"/>
      <c r="D79" s="361"/>
      <c r="E79" s="348"/>
      <c r="F79" s="348"/>
      <c r="G79" s="346" t="s">
        <v>248</v>
      </c>
      <c r="H79" s="347">
        <f>SUM(H77:H78)</f>
        <v>166.43700000000001</v>
      </c>
    </row>
    <row r="81" spans="1:8" ht="24">
      <c r="A81" s="346" t="str">
        <f>SERVIÇOS!A114</f>
        <v>10.8</v>
      </c>
      <c r="B81" s="346"/>
      <c r="C81" s="346"/>
      <c r="D81" s="345" t="str">
        <f>UPPER("Barra de apoio tipo U para lavatório, em aço inox 304, d=1 1/2'', 25x26cm")</f>
        <v>BARRA DE APOIO TIPO U PARA LAVATÓRIO, EM AÇO INOX 304, D=1 1/2'', 25X26CM</v>
      </c>
      <c r="E81" s="346" t="s">
        <v>2</v>
      </c>
      <c r="F81" s="346" t="s">
        <v>244</v>
      </c>
      <c r="G81" s="346" t="s">
        <v>245</v>
      </c>
      <c r="H81" s="346" t="s">
        <v>246</v>
      </c>
    </row>
    <row r="82" spans="1:8">
      <c r="A82" s="346"/>
      <c r="B82" s="346" t="s">
        <v>258</v>
      </c>
      <c r="C82" s="346" t="s">
        <v>369</v>
      </c>
      <c r="D82" s="491" t="str">
        <f>UPPER("Barra de apoio lateral em aço inox")</f>
        <v>BARRA DE APOIO LATERAL EM AÇO INOX</v>
      </c>
      <c r="E82" s="346" t="s">
        <v>2</v>
      </c>
      <c r="F82" s="346">
        <v>1</v>
      </c>
      <c r="G82" s="347">
        <v>180.29</v>
      </c>
      <c r="H82" s="346">
        <f>F82*G82</f>
        <v>180.29</v>
      </c>
    </row>
    <row r="83" spans="1:8">
      <c r="A83" s="346"/>
      <c r="B83" s="346" t="s">
        <v>247</v>
      </c>
      <c r="C83" s="346">
        <v>88309</v>
      </c>
      <c r="D83" s="345" t="s">
        <v>243</v>
      </c>
      <c r="E83" s="346" t="s">
        <v>239</v>
      </c>
      <c r="F83" s="346">
        <v>0.3</v>
      </c>
      <c r="G83" s="347">
        <f>$E$12</f>
        <v>21.79</v>
      </c>
      <c r="H83" s="346">
        <f>F83*G83</f>
        <v>6.5369999999999999</v>
      </c>
    </row>
    <row r="84" spans="1:8">
      <c r="A84" s="348"/>
      <c r="B84" s="355"/>
      <c r="C84" s="356"/>
      <c r="D84" s="361"/>
      <c r="E84" s="348"/>
      <c r="F84" s="348"/>
      <c r="G84" s="346" t="s">
        <v>248</v>
      </c>
      <c r="H84" s="347">
        <f>SUM(H82:H83)</f>
        <v>186.827</v>
      </c>
    </row>
    <row r="86" spans="1:8" ht="36">
      <c r="A86" s="346" t="str">
        <f>SERVIÇOS!A108</f>
        <v>10.2</v>
      </c>
      <c r="B86" s="346"/>
      <c r="C86" s="346"/>
      <c r="D86" s="345" t="s">
        <v>380</v>
      </c>
      <c r="E86" s="346" t="s">
        <v>2</v>
      </c>
      <c r="F86" s="346" t="s">
        <v>244</v>
      </c>
      <c r="G86" s="346" t="s">
        <v>245</v>
      </c>
      <c r="H86" s="346" t="s">
        <v>246</v>
      </c>
    </row>
    <row r="87" spans="1:8" ht="24">
      <c r="A87" s="346"/>
      <c r="B87" s="346" t="s">
        <v>258</v>
      </c>
      <c r="C87" s="346" t="s">
        <v>376</v>
      </c>
      <c r="D87" s="491" t="s">
        <v>371</v>
      </c>
      <c r="E87" s="346" t="s">
        <v>366</v>
      </c>
      <c r="F87" s="346">
        <v>1</v>
      </c>
      <c r="G87" s="347">
        <v>26.45</v>
      </c>
      <c r="H87" s="346">
        <f>F87*G87</f>
        <v>26.45</v>
      </c>
    </row>
    <row r="88" spans="1:8">
      <c r="A88" s="346"/>
      <c r="B88" s="346" t="s">
        <v>258</v>
      </c>
      <c r="C88" s="346">
        <v>3146</v>
      </c>
      <c r="D88" s="491" t="s">
        <v>365</v>
      </c>
      <c r="E88" s="346" t="s">
        <v>17</v>
      </c>
      <c r="F88" s="346">
        <v>0.6</v>
      </c>
      <c r="G88" s="347">
        <f>2.37/10</f>
        <v>0.23700000000000002</v>
      </c>
      <c r="H88" s="346">
        <f t="shared" ref="H88:H95" si="2">F88*G88</f>
        <v>0.14219999999999999</v>
      </c>
    </row>
    <row r="89" spans="1:8" ht="36">
      <c r="A89" s="346"/>
      <c r="B89" s="346" t="s">
        <v>258</v>
      </c>
      <c r="C89" s="346" t="s">
        <v>377</v>
      </c>
      <c r="D89" s="491" t="s">
        <v>372</v>
      </c>
      <c r="E89" s="346" t="s">
        <v>2</v>
      </c>
      <c r="F89" s="346">
        <v>1</v>
      </c>
      <c r="G89" s="347">
        <v>445.14</v>
      </c>
      <c r="H89" s="346">
        <f t="shared" si="2"/>
        <v>445.14</v>
      </c>
    </row>
    <row r="90" spans="1:8">
      <c r="A90" s="346"/>
      <c r="B90" s="346" t="s">
        <v>258</v>
      </c>
      <c r="C90" s="346" t="s">
        <v>793</v>
      </c>
      <c r="D90" s="491" t="str">
        <f>UPPER("Assento Vogue Plus Gelo Ref.: Ap50")</f>
        <v>ASSENTO VOGUE PLUS GELO REF.: AP50</v>
      </c>
      <c r="E90" s="346" t="s">
        <v>2</v>
      </c>
      <c r="F90" s="346">
        <v>1</v>
      </c>
      <c r="G90" s="347">
        <v>121.29</v>
      </c>
      <c r="H90" s="346">
        <f t="shared" si="2"/>
        <v>121.29</v>
      </c>
    </row>
    <row r="91" spans="1:8" ht="24">
      <c r="A91" s="346"/>
      <c r="B91" s="346" t="s">
        <v>161</v>
      </c>
      <c r="C91" s="346">
        <v>88267</v>
      </c>
      <c r="D91" s="345" t="s">
        <v>344</v>
      </c>
      <c r="E91" s="346" t="s">
        <v>239</v>
      </c>
      <c r="F91" s="346">
        <v>2</v>
      </c>
      <c r="G91" s="347">
        <f>$E$16</f>
        <v>21.75</v>
      </c>
      <c r="H91" s="346">
        <f t="shared" si="2"/>
        <v>43.5</v>
      </c>
    </row>
    <row r="92" spans="1:8">
      <c r="A92" s="346"/>
      <c r="B92" s="346" t="s">
        <v>161</v>
      </c>
      <c r="C92" s="346">
        <v>88316</v>
      </c>
      <c r="D92" s="345" t="s">
        <v>240</v>
      </c>
      <c r="E92" s="346" t="s">
        <v>239</v>
      </c>
      <c r="F92" s="346">
        <v>2</v>
      </c>
      <c r="G92" s="347">
        <f>$E$13</f>
        <v>15.02</v>
      </c>
      <c r="H92" s="346">
        <f t="shared" si="2"/>
        <v>30.04</v>
      </c>
    </row>
    <row r="93" spans="1:8">
      <c r="A93" s="346"/>
      <c r="B93" s="346" t="s">
        <v>258</v>
      </c>
      <c r="C93" s="346">
        <v>6138</v>
      </c>
      <c r="D93" s="345" t="s">
        <v>373</v>
      </c>
      <c r="E93" s="346" t="s">
        <v>2</v>
      </c>
      <c r="F93" s="346">
        <v>1</v>
      </c>
      <c r="G93" s="347">
        <v>1.54</v>
      </c>
      <c r="H93" s="346">
        <f t="shared" si="2"/>
        <v>1.54</v>
      </c>
    </row>
    <row r="94" spans="1:8" ht="24">
      <c r="A94" s="346"/>
      <c r="B94" s="346" t="s">
        <v>258</v>
      </c>
      <c r="C94" s="346">
        <v>6141</v>
      </c>
      <c r="D94" s="345" t="s">
        <v>374</v>
      </c>
      <c r="E94" s="346" t="s">
        <v>2</v>
      </c>
      <c r="F94" s="346">
        <v>1</v>
      </c>
      <c r="G94" s="347">
        <v>2.77</v>
      </c>
      <c r="H94" s="346">
        <f t="shared" si="2"/>
        <v>2.77</v>
      </c>
    </row>
    <row r="95" spans="1:8" ht="24">
      <c r="A95" s="346"/>
      <c r="B95" s="346" t="s">
        <v>258</v>
      </c>
      <c r="C95" s="346">
        <v>12612</v>
      </c>
      <c r="D95" s="345" t="s">
        <v>375</v>
      </c>
      <c r="E95" s="346" t="s">
        <v>2</v>
      </c>
      <c r="F95" s="346">
        <v>1</v>
      </c>
      <c r="G95" s="347">
        <v>4.6900000000000004</v>
      </c>
      <c r="H95" s="346">
        <f t="shared" si="2"/>
        <v>4.6900000000000004</v>
      </c>
    </row>
    <row r="96" spans="1:8">
      <c r="A96" s="348"/>
      <c r="B96" s="355"/>
      <c r="C96" s="356"/>
      <c r="D96" s="361"/>
      <c r="E96" s="348"/>
      <c r="F96" s="348"/>
      <c r="G96" s="346" t="s">
        <v>248</v>
      </c>
      <c r="H96" s="347">
        <f>SUM(H87:H95)</f>
        <v>675.56219999999996</v>
      </c>
    </row>
    <row r="98" spans="1:8" ht="24">
      <c r="A98" s="346" t="str">
        <f>SERVIÇOS!A115</f>
        <v>10.9</v>
      </c>
      <c r="B98" s="346"/>
      <c r="C98" s="346"/>
      <c r="D98" s="345" t="s">
        <v>360</v>
      </c>
      <c r="E98" s="346" t="s">
        <v>2</v>
      </c>
      <c r="F98" s="346" t="s">
        <v>244</v>
      </c>
      <c r="G98" s="346" t="s">
        <v>245</v>
      </c>
      <c r="H98" s="346" t="s">
        <v>246</v>
      </c>
    </row>
    <row r="99" spans="1:8" ht="24">
      <c r="A99" s="346"/>
      <c r="B99" s="346" t="s">
        <v>258</v>
      </c>
      <c r="C99" s="346">
        <v>36081</v>
      </c>
      <c r="D99" s="345" t="s">
        <v>370</v>
      </c>
      <c r="E99" s="346" t="s">
        <v>2</v>
      </c>
      <c r="F99" s="346">
        <v>1</v>
      </c>
      <c r="G99" s="347">
        <v>124.4</v>
      </c>
      <c r="H99" s="346">
        <f>F99*G99</f>
        <v>124.4</v>
      </c>
    </row>
    <row r="100" spans="1:8">
      <c r="A100" s="346"/>
      <c r="B100" s="346" t="s">
        <v>247</v>
      </c>
      <c r="C100" s="346">
        <v>88309</v>
      </c>
      <c r="D100" s="345" t="s">
        <v>243</v>
      </c>
      <c r="E100" s="346" t="s">
        <v>239</v>
      </c>
      <c r="F100" s="346">
        <v>1</v>
      </c>
      <c r="G100" s="347">
        <f>$E$12</f>
        <v>21.79</v>
      </c>
      <c r="H100" s="346">
        <f>F100*G100</f>
        <v>21.79</v>
      </c>
    </row>
    <row r="101" spans="1:8">
      <c r="A101" s="348"/>
      <c r="B101" s="355"/>
      <c r="C101" s="356"/>
      <c r="D101" s="361"/>
      <c r="E101" s="348"/>
      <c r="F101" s="348"/>
      <c r="G101" s="346" t="s">
        <v>248</v>
      </c>
      <c r="H101" s="347">
        <f>SUM(H99:H100)</f>
        <v>146.19</v>
      </c>
    </row>
    <row r="103" spans="1:8" ht="21.6" customHeight="1">
      <c r="A103" s="346" t="str">
        <f>SERVIÇOS!A116</f>
        <v>10.10</v>
      </c>
      <c r="B103" s="346"/>
      <c r="C103" s="346"/>
      <c r="D103" s="345" t="s">
        <v>361</v>
      </c>
      <c r="E103" s="346" t="s">
        <v>2</v>
      </c>
      <c r="F103" s="346" t="s">
        <v>244</v>
      </c>
      <c r="G103" s="346" t="s">
        <v>245</v>
      </c>
      <c r="H103" s="346" t="s">
        <v>246</v>
      </c>
    </row>
    <row r="104" spans="1:8" ht="24">
      <c r="A104" s="346"/>
      <c r="B104" s="346" t="s">
        <v>258</v>
      </c>
      <c r="C104" s="346">
        <v>36205</v>
      </c>
      <c r="D104" s="345" t="s">
        <v>364</v>
      </c>
      <c r="E104" s="346" t="s">
        <v>2</v>
      </c>
      <c r="F104" s="346">
        <v>1</v>
      </c>
      <c r="G104" s="347">
        <v>116.67</v>
      </c>
      <c r="H104" s="346">
        <f>F104*G104</f>
        <v>116.67</v>
      </c>
    </row>
    <row r="105" spans="1:8">
      <c r="A105" s="346"/>
      <c r="B105" s="346" t="s">
        <v>247</v>
      </c>
      <c r="C105" s="346">
        <v>88309</v>
      </c>
      <c r="D105" s="345" t="s">
        <v>243</v>
      </c>
      <c r="E105" s="346" t="s">
        <v>239</v>
      </c>
      <c r="F105" s="346">
        <v>1</v>
      </c>
      <c r="G105" s="347">
        <f>$E$12</f>
        <v>21.79</v>
      </c>
      <c r="H105" s="346">
        <f>F105*G105</f>
        <v>21.79</v>
      </c>
    </row>
    <row r="106" spans="1:8">
      <c r="A106" s="348"/>
      <c r="B106" s="355"/>
      <c r="C106" s="356"/>
      <c r="D106" s="361"/>
      <c r="E106" s="348"/>
      <c r="F106" s="348"/>
      <c r="G106" s="346" t="s">
        <v>248</v>
      </c>
      <c r="H106" s="347">
        <f>SUM(H104:H105)</f>
        <v>138.46</v>
      </c>
    </row>
    <row r="108" spans="1:8" ht="24">
      <c r="A108" s="346" t="str">
        <f>SERVIÇOS!A117</f>
        <v>10.11</v>
      </c>
      <c r="B108" s="346"/>
      <c r="C108" s="346"/>
      <c r="D108" s="345" t="s">
        <v>382</v>
      </c>
      <c r="E108" s="346" t="s">
        <v>2</v>
      </c>
      <c r="F108" s="346" t="s">
        <v>244</v>
      </c>
      <c r="G108" s="346" t="s">
        <v>245</v>
      </c>
      <c r="H108" s="346" t="s">
        <v>246</v>
      </c>
    </row>
    <row r="109" spans="1:8" ht="24">
      <c r="A109" s="346"/>
      <c r="B109" s="346" t="s">
        <v>258</v>
      </c>
      <c r="C109" s="346">
        <v>36204</v>
      </c>
      <c r="D109" s="345" t="s">
        <v>383</v>
      </c>
      <c r="E109" s="346" t="s">
        <v>2</v>
      </c>
      <c r="F109" s="346">
        <v>1</v>
      </c>
      <c r="G109" s="347">
        <v>105.05</v>
      </c>
      <c r="H109" s="346">
        <f>F109*G109</f>
        <v>105.05</v>
      </c>
    </row>
    <row r="110" spans="1:8">
      <c r="A110" s="346"/>
      <c r="B110" s="346" t="s">
        <v>247</v>
      </c>
      <c r="C110" s="346">
        <v>88309</v>
      </c>
      <c r="D110" s="345" t="s">
        <v>243</v>
      </c>
      <c r="E110" s="346" t="s">
        <v>239</v>
      </c>
      <c r="F110" s="346">
        <v>1</v>
      </c>
      <c r="G110" s="347">
        <f>$E$12</f>
        <v>21.79</v>
      </c>
      <c r="H110" s="346">
        <f>F110*G110</f>
        <v>21.79</v>
      </c>
    </row>
    <row r="111" spans="1:8">
      <c r="A111" s="348"/>
      <c r="B111" s="355"/>
      <c r="C111" s="356"/>
      <c r="D111" s="361"/>
      <c r="E111" s="348"/>
      <c r="F111" s="348"/>
      <c r="G111" s="346" t="s">
        <v>248</v>
      </c>
      <c r="H111" s="347">
        <f>SUM(H109:H110)</f>
        <v>126.84</v>
      </c>
    </row>
    <row r="113" spans="1:8" ht="48">
      <c r="A113" s="346" t="str">
        <f>SERVIÇOS!A118</f>
        <v>10.12</v>
      </c>
      <c r="B113" s="346" t="s">
        <v>320</v>
      </c>
      <c r="C113" s="346"/>
      <c r="D113" s="345" t="s">
        <v>362</v>
      </c>
      <c r="E113" s="346" t="s">
        <v>2</v>
      </c>
      <c r="F113" s="346" t="s">
        <v>244</v>
      </c>
      <c r="G113" s="346" t="s">
        <v>245</v>
      </c>
      <c r="H113" s="346" t="s">
        <v>246</v>
      </c>
    </row>
    <row r="114" spans="1:8" ht="24">
      <c r="A114" s="346"/>
      <c r="B114" s="346" t="s">
        <v>256</v>
      </c>
      <c r="C114" s="346" t="s">
        <v>368</v>
      </c>
      <c r="D114" s="491" t="str">
        <f>UPPER("Alarme para Banheiro de Deficiente de acordo com NBR9050 Bivolt 69.046")</f>
        <v>ALARME PARA BANHEIRO DE DEFICIENTE DE ACORDO COM NBR9050 BIVOLT 69.046</v>
      </c>
      <c r="E114" s="346" t="s">
        <v>2</v>
      </c>
      <c r="F114" s="346">
        <v>1</v>
      </c>
      <c r="G114" s="347">
        <f>439.9+20.35</f>
        <v>460.25</v>
      </c>
      <c r="H114" s="346">
        <f>F114*G114</f>
        <v>460.25</v>
      </c>
    </row>
    <row r="115" spans="1:8">
      <c r="A115" s="346"/>
      <c r="B115" s="346" t="s">
        <v>247</v>
      </c>
      <c r="C115" s="346">
        <v>88264</v>
      </c>
      <c r="D115" s="345" t="s">
        <v>269</v>
      </c>
      <c r="E115" s="346" t="s">
        <v>239</v>
      </c>
      <c r="F115" s="346">
        <v>1</v>
      </c>
      <c r="G115" s="347">
        <f>$E$18</f>
        <v>22</v>
      </c>
      <c r="H115" s="346">
        <f>F115*G115</f>
        <v>22</v>
      </c>
    </row>
    <row r="116" spans="1:8">
      <c r="A116" s="348"/>
      <c r="B116" s="355"/>
      <c r="C116" s="356"/>
      <c r="D116" s="361"/>
      <c r="E116" s="348"/>
      <c r="F116" s="348"/>
      <c r="G116" s="346" t="s">
        <v>248</v>
      </c>
      <c r="H116" s="347">
        <f>SUM(H114:H115)</f>
        <v>482.25</v>
      </c>
    </row>
    <row r="119" spans="1:8" ht="24">
      <c r="A119" s="346" t="str">
        <f>SERVIÇOS!A110</f>
        <v>10.4</v>
      </c>
      <c r="B119" s="346" t="s">
        <v>320</v>
      </c>
      <c r="C119" s="346"/>
      <c r="D119" s="345" t="str">
        <f>UPPER("Acabamento para Válvula Hydra Eco Conforto com Conversor Cromado Deca")</f>
        <v>ACABAMENTO PARA VÁLVULA HYDRA ECO CONFORTO COM CONVERSOR CROMADO DECA</v>
      </c>
      <c r="E119" s="346" t="s">
        <v>2</v>
      </c>
      <c r="F119" s="346" t="s">
        <v>244</v>
      </c>
      <c r="G119" s="346" t="s">
        <v>245</v>
      </c>
      <c r="H119" s="346" t="s">
        <v>246</v>
      </c>
    </row>
    <row r="120" spans="1:8" ht="24">
      <c r="A120" s="346"/>
      <c r="B120" s="346" t="s">
        <v>256</v>
      </c>
      <c r="C120" s="346" t="s">
        <v>368</v>
      </c>
      <c r="D120" s="491" t="s">
        <v>700</v>
      </c>
      <c r="E120" s="346" t="s">
        <v>2</v>
      </c>
      <c r="F120" s="346">
        <v>1</v>
      </c>
      <c r="G120" s="347">
        <v>299.79000000000002</v>
      </c>
      <c r="H120" s="346">
        <f>F120*G120</f>
        <v>299.79000000000002</v>
      </c>
    </row>
    <row r="121" spans="1:8" ht="24">
      <c r="A121" s="346"/>
      <c r="B121" s="346" t="s">
        <v>247</v>
      </c>
      <c r="C121" s="346">
        <v>88267</v>
      </c>
      <c r="D121" s="345" t="s">
        <v>344</v>
      </c>
      <c r="E121" s="346" t="s">
        <v>239</v>
      </c>
      <c r="F121" s="346">
        <v>0.1</v>
      </c>
      <c r="G121" s="347">
        <f>$E$18</f>
        <v>22</v>
      </c>
      <c r="H121" s="346">
        <f>F121*G121</f>
        <v>2.2000000000000002</v>
      </c>
    </row>
    <row r="122" spans="1:8">
      <c r="A122" s="348"/>
      <c r="B122" s="355"/>
      <c r="C122" s="356"/>
      <c r="D122" s="361"/>
      <c r="E122" s="348"/>
      <c r="F122" s="348"/>
      <c r="G122" s="346" t="s">
        <v>248</v>
      </c>
      <c r="H122" s="347">
        <f>SUM(H120:H121)</f>
        <v>301.99</v>
      </c>
    </row>
    <row r="123" spans="1:8" ht="13.5" thickBot="1"/>
    <row r="124" spans="1:8" ht="18.75" thickBot="1">
      <c r="A124" s="649" t="str">
        <f>SERVIÇOS!C135</f>
        <v>INSTALAÇÕES ELÉTRICAS</v>
      </c>
      <c r="B124" s="650"/>
      <c r="C124" s="650"/>
      <c r="D124" s="650"/>
      <c r="E124" s="650"/>
      <c r="F124" s="650"/>
      <c r="G124" s="650"/>
      <c r="H124" s="651"/>
    </row>
    <row r="126" spans="1:8" ht="48">
      <c r="A126" s="346" t="str">
        <f>SERVIÇOS!A138</f>
        <v>12.3</v>
      </c>
      <c r="B126" s="346" t="s">
        <v>320</v>
      </c>
      <c r="C126" s="346" t="s">
        <v>606</v>
      </c>
      <c r="D126" s="345" t="s">
        <v>605</v>
      </c>
      <c r="E126" s="346" t="s">
        <v>2</v>
      </c>
      <c r="F126" s="346" t="s">
        <v>244</v>
      </c>
      <c r="G126" s="346" t="s">
        <v>245</v>
      </c>
      <c r="H126" s="346" t="s">
        <v>246</v>
      </c>
    </row>
    <row r="127" spans="1:8" ht="24">
      <c r="A127" s="498"/>
      <c r="B127" s="346" t="s">
        <v>247</v>
      </c>
      <c r="C127" s="346" t="s">
        <v>323</v>
      </c>
      <c r="D127" s="345" t="s">
        <v>268</v>
      </c>
      <c r="E127" s="346" t="s">
        <v>239</v>
      </c>
      <c r="F127" s="497">
        <v>1</v>
      </c>
      <c r="G127" s="497">
        <f>$E$19</f>
        <v>17.829999999999998</v>
      </c>
      <c r="H127" s="497">
        <f>F127*G127</f>
        <v>17.829999999999998</v>
      </c>
    </row>
    <row r="128" spans="1:8">
      <c r="A128" s="346"/>
      <c r="B128" s="346" t="s">
        <v>247</v>
      </c>
      <c r="C128" s="346" t="s">
        <v>324</v>
      </c>
      <c r="D128" s="345" t="s">
        <v>269</v>
      </c>
      <c r="E128" s="346" t="s">
        <v>239</v>
      </c>
      <c r="F128" s="497">
        <v>1</v>
      </c>
      <c r="G128" s="497">
        <f>$E$18</f>
        <v>22</v>
      </c>
      <c r="H128" s="497">
        <f>F128*G128</f>
        <v>22</v>
      </c>
    </row>
    <row r="129" spans="1:8" ht="36">
      <c r="A129" s="346"/>
      <c r="B129" s="346" t="s">
        <v>258</v>
      </c>
      <c r="C129" s="498" t="s">
        <v>791</v>
      </c>
      <c r="D129" s="345" t="s">
        <v>607</v>
      </c>
      <c r="E129" s="346" t="s">
        <v>2</v>
      </c>
      <c r="F129" s="497">
        <v>1</v>
      </c>
      <c r="G129" s="499">
        <v>141.51</v>
      </c>
      <c r="H129" s="497">
        <f>F129*G129</f>
        <v>141.51</v>
      </c>
    </row>
    <row r="130" spans="1:8" ht="24">
      <c r="A130" s="346"/>
      <c r="B130" s="346" t="s">
        <v>258</v>
      </c>
      <c r="C130" s="498" t="s">
        <v>608</v>
      </c>
      <c r="D130" s="500" t="s">
        <v>609</v>
      </c>
      <c r="E130" s="498" t="s">
        <v>2</v>
      </c>
      <c r="F130" s="499">
        <v>1</v>
      </c>
      <c r="G130" s="499">
        <f>76.59+6.13</f>
        <v>82.72</v>
      </c>
      <c r="H130" s="497">
        <f>F130*G130</f>
        <v>82.72</v>
      </c>
    </row>
    <row r="131" spans="1:8" ht="24">
      <c r="A131" s="346"/>
      <c r="B131" s="346" t="s">
        <v>258</v>
      </c>
      <c r="C131" s="498" t="s">
        <v>610</v>
      </c>
      <c r="D131" s="500" t="s">
        <v>611</v>
      </c>
      <c r="E131" s="498" t="s">
        <v>2</v>
      </c>
      <c r="F131" s="499">
        <v>2</v>
      </c>
      <c r="G131" s="499">
        <f>9.94</f>
        <v>9.94</v>
      </c>
      <c r="H131" s="497">
        <f>F131*G131</f>
        <v>19.88</v>
      </c>
    </row>
    <row r="132" spans="1:8">
      <c r="A132" s="348"/>
      <c r="B132" s="355"/>
      <c r="C132" s="356"/>
      <c r="D132" s="361"/>
      <c r="E132" s="348"/>
      <c r="F132" s="348"/>
      <c r="G132" s="346" t="s">
        <v>248</v>
      </c>
      <c r="H132" s="497">
        <f>SUM(H127:H131)</f>
        <v>283.93999999999994</v>
      </c>
    </row>
    <row r="134" spans="1:8" ht="24">
      <c r="A134" s="346" t="str">
        <f>SERVIÇOS!A139</f>
        <v>12.4</v>
      </c>
      <c r="B134" s="346" t="s">
        <v>320</v>
      </c>
      <c r="C134" s="498" t="s">
        <v>613</v>
      </c>
      <c r="D134" s="345" t="s">
        <v>614</v>
      </c>
      <c r="E134" s="346" t="s">
        <v>2</v>
      </c>
      <c r="F134" s="346" t="s">
        <v>244</v>
      </c>
      <c r="G134" s="346" t="s">
        <v>245</v>
      </c>
      <c r="H134" s="346" t="s">
        <v>246</v>
      </c>
    </row>
    <row r="135" spans="1:8" ht="24">
      <c r="A135" s="498"/>
      <c r="B135" s="346" t="s">
        <v>247</v>
      </c>
      <c r="C135" s="346" t="s">
        <v>323</v>
      </c>
      <c r="D135" s="345" t="s">
        <v>268</v>
      </c>
      <c r="E135" s="346" t="s">
        <v>239</v>
      </c>
      <c r="F135" s="346">
        <f>1.5+0.15</f>
        <v>1.65</v>
      </c>
      <c r="G135" s="347">
        <f>$E$19</f>
        <v>17.829999999999998</v>
      </c>
      <c r="H135" s="497">
        <f>F135*G135</f>
        <v>29.419499999999996</v>
      </c>
    </row>
    <row r="136" spans="1:8">
      <c r="A136" s="346"/>
      <c r="B136" s="346" t="s">
        <v>247</v>
      </c>
      <c r="C136" s="346" t="s">
        <v>324</v>
      </c>
      <c r="D136" s="345" t="s">
        <v>269</v>
      </c>
      <c r="E136" s="346" t="s">
        <v>239</v>
      </c>
      <c r="F136" s="346">
        <f>1.5+0.15</f>
        <v>1.65</v>
      </c>
      <c r="G136" s="347">
        <f>$E$18</f>
        <v>22</v>
      </c>
      <c r="H136" s="497">
        <f>F136*G136</f>
        <v>36.299999999999997</v>
      </c>
    </row>
    <row r="137" spans="1:8">
      <c r="A137" s="346"/>
      <c r="B137" s="346" t="s">
        <v>256</v>
      </c>
      <c r="C137" s="501" t="s">
        <v>325</v>
      </c>
      <c r="D137" s="345" t="s">
        <v>615</v>
      </c>
      <c r="E137" s="346" t="s">
        <v>2</v>
      </c>
      <c r="F137" s="346">
        <v>1</v>
      </c>
      <c r="G137" s="498">
        <v>4.46</v>
      </c>
      <c r="H137" s="497">
        <f>F137*G137</f>
        <v>4.46</v>
      </c>
    </row>
    <row r="138" spans="1:8" ht="24">
      <c r="A138" s="346"/>
      <c r="B138" s="498" t="s">
        <v>256</v>
      </c>
      <c r="C138" s="498" t="s">
        <v>616</v>
      </c>
      <c r="D138" s="500" t="s">
        <v>617</v>
      </c>
      <c r="E138" s="498" t="s">
        <v>2</v>
      </c>
      <c r="F138" s="498">
        <v>1</v>
      </c>
      <c r="G138" s="499">
        <f>(375+150)/3</f>
        <v>175</v>
      </c>
      <c r="H138" s="499">
        <f>F138*G138</f>
        <v>175</v>
      </c>
    </row>
    <row r="139" spans="1:8">
      <c r="A139" s="348"/>
      <c r="B139" s="355"/>
      <c r="C139" s="356"/>
      <c r="D139" s="361"/>
      <c r="E139" s="348"/>
      <c r="F139" s="348"/>
      <c r="G139" s="346" t="s">
        <v>248</v>
      </c>
      <c r="H139" s="347">
        <f>SUM(H135:H138)</f>
        <v>245.17949999999999</v>
      </c>
    </row>
    <row r="140" spans="1:8">
      <c r="A140" s="348"/>
      <c r="B140" s="355"/>
      <c r="C140" s="356"/>
      <c r="D140" s="361"/>
      <c r="E140" s="348"/>
      <c r="F140" s="348"/>
      <c r="G140" s="502"/>
      <c r="H140" s="503"/>
    </row>
    <row r="141" spans="1:8" ht="36">
      <c r="A141" s="346" t="str">
        <f>SERVIÇOS!A153</f>
        <v>12.18</v>
      </c>
      <c r="B141" s="346" t="s">
        <v>320</v>
      </c>
      <c r="C141" s="498">
        <v>95806</v>
      </c>
      <c r="D141" s="345" t="s">
        <v>623</v>
      </c>
      <c r="E141" s="346" t="s">
        <v>2</v>
      </c>
      <c r="F141" s="346" t="s">
        <v>244</v>
      </c>
      <c r="G141" s="346" t="s">
        <v>245</v>
      </c>
      <c r="H141" s="346" t="s">
        <v>246</v>
      </c>
    </row>
    <row r="142" spans="1:8" ht="24">
      <c r="A142" s="498"/>
      <c r="B142" s="346" t="s">
        <v>247</v>
      </c>
      <c r="C142" s="346" t="s">
        <v>323</v>
      </c>
      <c r="D142" s="345" t="s">
        <v>268</v>
      </c>
      <c r="E142" s="346" t="s">
        <v>239</v>
      </c>
      <c r="F142" s="346">
        <v>0.28889999999999999</v>
      </c>
      <c r="G142" s="347">
        <f>$E$19</f>
        <v>17.829999999999998</v>
      </c>
      <c r="H142" s="497">
        <f>F142*G142</f>
        <v>5.1510869999999995</v>
      </c>
    </row>
    <row r="143" spans="1:8">
      <c r="A143" s="346"/>
      <c r="B143" s="346" t="s">
        <v>247</v>
      </c>
      <c r="C143" s="346" t="s">
        <v>324</v>
      </c>
      <c r="D143" s="345" t="s">
        <v>269</v>
      </c>
      <c r="E143" s="346" t="s">
        <v>239</v>
      </c>
      <c r="F143" s="346">
        <v>0.28889999999999999</v>
      </c>
      <c r="G143" s="347">
        <f>$E$18</f>
        <v>22</v>
      </c>
      <c r="H143" s="497">
        <f>F143*G143</f>
        <v>6.3557999999999995</v>
      </c>
    </row>
    <row r="144" spans="1:8">
      <c r="A144" s="346"/>
      <c r="B144" s="346" t="s">
        <v>258</v>
      </c>
      <c r="C144" s="501">
        <v>39334</v>
      </c>
      <c r="D144" s="345" t="s">
        <v>624</v>
      </c>
      <c r="E144" s="346" t="s">
        <v>2</v>
      </c>
      <c r="F144" s="346">
        <v>1</v>
      </c>
      <c r="G144" s="346">
        <v>5.58</v>
      </c>
      <c r="H144" s="497">
        <f>F144*G144</f>
        <v>5.58</v>
      </c>
    </row>
    <row r="145" spans="1:8" ht="36">
      <c r="A145" s="346"/>
      <c r="B145" s="504" t="s">
        <v>258</v>
      </c>
      <c r="C145" s="504">
        <v>11950</v>
      </c>
      <c r="D145" s="505" t="s">
        <v>625</v>
      </c>
      <c r="E145" s="346" t="s">
        <v>2</v>
      </c>
      <c r="F145" s="346">
        <v>2</v>
      </c>
      <c r="G145" s="346">
        <v>0.16</v>
      </c>
      <c r="H145" s="497">
        <f>F145*G145</f>
        <v>0.32</v>
      </c>
    </row>
    <row r="146" spans="1:8">
      <c r="A146" s="348"/>
      <c r="B146" s="355"/>
      <c r="C146" s="356"/>
      <c r="D146" s="361"/>
      <c r="E146" s="348"/>
      <c r="F146" s="348"/>
      <c r="G146" s="346" t="s">
        <v>248</v>
      </c>
      <c r="H146" s="347">
        <f>SUM(H142:H145)</f>
        <v>17.406886999999998</v>
      </c>
    </row>
    <row r="147" spans="1:8">
      <c r="G147" s="508"/>
      <c r="H147" s="508"/>
    </row>
    <row r="148" spans="1:8" ht="24">
      <c r="A148" s="346" t="str">
        <f>SERVIÇOS!A158</f>
        <v>12.23</v>
      </c>
      <c r="B148" s="346" t="s">
        <v>320</v>
      </c>
      <c r="C148" s="498" t="s">
        <v>631</v>
      </c>
      <c r="D148" s="345" t="s">
        <v>635</v>
      </c>
      <c r="E148" s="346" t="s">
        <v>2</v>
      </c>
      <c r="F148" s="346" t="s">
        <v>244</v>
      </c>
      <c r="G148" s="346" t="s">
        <v>245</v>
      </c>
      <c r="H148" s="346" t="s">
        <v>246</v>
      </c>
    </row>
    <row r="149" spans="1:8">
      <c r="A149" s="498"/>
      <c r="B149" s="346" t="s">
        <v>247</v>
      </c>
      <c r="C149" s="346" t="s">
        <v>324</v>
      </c>
      <c r="D149" s="345" t="s">
        <v>269</v>
      </c>
      <c r="E149" s="346" t="s">
        <v>239</v>
      </c>
      <c r="F149" s="346">
        <v>0.1</v>
      </c>
      <c r="G149" s="347">
        <f>$E$18</f>
        <v>22</v>
      </c>
      <c r="H149" s="497">
        <f>F149*G149</f>
        <v>2.2000000000000002</v>
      </c>
    </row>
    <row r="150" spans="1:8" ht="24">
      <c r="A150" s="346"/>
      <c r="B150" s="346" t="s">
        <v>258</v>
      </c>
      <c r="C150" s="501">
        <v>39352</v>
      </c>
      <c r="D150" s="345" t="s">
        <v>632</v>
      </c>
      <c r="E150" s="346" t="s">
        <v>2</v>
      </c>
      <c r="F150" s="346">
        <v>1</v>
      </c>
      <c r="G150" s="498">
        <v>2.1</v>
      </c>
      <c r="H150" s="497">
        <f>F150*G150</f>
        <v>2.1</v>
      </c>
    </row>
    <row r="151" spans="1:8">
      <c r="A151" s="348"/>
      <c r="B151" s="355"/>
      <c r="C151" s="356"/>
      <c r="D151" s="361"/>
      <c r="E151" s="348"/>
      <c r="F151" s="348"/>
      <c r="G151" s="346" t="s">
        <v>248</v>
      </c>
      <c r="H151" s="347">
        <f>SUM(H149:H150)</f>
        <v>4.3000000000000007</v>
      </c>
    </row>
    <row r="154" spans="1:8" ht="24">
      <c r="A154" s="346" t="str">
        <f>SERVIÇOS!A159</f>
        <v>12.24</v>
      </c>
      <c r="B154" s="346" t="s">
        <v>320</v>
      </c>
      <c r="C154" s="498" t="s">
        <v>631</v>
      </c>
      <c r="D154" s="345" t="s">
        <v>636</v>
      </c>
      <c r="E154" s="346" t="s">
        <v>2</v>
      </c>
      <c r="F154" s="346" t="s">
        <v>244</v>
      </c>
      <c r="G154" s="346" t="s">
        <v>245</v>
      </c>
      <c r="H154" s="346" t="s">
        <v>246</v>
      </c>
    </row>
    <row r="155" spans="1:8">
      <c r="A155" s="498"/>
      <c r="B155" s="346" t="s">
        <v>247</v>
      </c>
      <c r="C155" s="346" t="s">
        <v>324</v>
      </c>
      <c r="D155" s="345" t="s">
        <v>269</v>
      </c>
      <c r="E155" s="346" t="s">
        <v>239</v>
      </c>
      <c r="F155" s="346">
        <v>0.1</v>
      </c>
      <c r="G155" s="347">
        <f>$E$18</f>
        <v>22</v>
      </c>
      <c r="H155" s="497">
        <f>F155*G155</f>
        <v>2.2000000000000002</v>
      </c>
    </row>
    <row r="156" spans="1:8" ht="24">
      <c r="A156" s="346"/>
      <c r="B156" s="346" t="s">
        <v>258</v>
      </c>
      <c r="C156" s="501" t="s">
        <v>325</v>
      </c>
      <c r="D156" s="345" t="s">
        <v>633</v>
      </c>
      <c r="E156" s="346" t="s">
        <v>2</v>
      </c>
      <c r="F156" s="346">
        <v>1</v>
      </c>
      <c r="G156" s="498">
        <v>3.79</v>
      </c>
      <c r="H156" s="497">
        <f>F156*G156</f>
        <v>3.79</v>
      </c>
    </row>
    <row r="157" spans="1:8">
      <c r="A157" s="348"/>
      <c r="B157" s="355"/>
      <c r="C157" s="356"/>
      <c r="D157" s="361"/>
      <c r="E157" s="348"/>
      <c r="F157" s="348"/>
      <c r="G157" s="346" t="s">
        <v>248</v>
      </c>
      <c r="H157" s="347">
        <f>SUM(H155:H156)</f>
        <v>5.99</v>
      </c>
    </row>
    <row r="160" spans="1:8" ht="36">
      <c r="A160" s="346" t="str">
        <f>SERVIÇOS!A160</f>
        <v>12.25</v>
      </c>
      <c r="B160" s="346" t="s">
        <v>320</v>
      </c>
      <c r="C160" s="346"/>
      <c r="D160" s="345" t="s">
        <v>630</v>
      </c>
      <c r="E160" s="346" t="s">
        <v>17</v>
      </c>
      <c r="F160" s="346" t="s">
        <v>244</v>
      </c>
      <c r="G160" s="346" t="s">
        <v>245</v>
      </c>
      <c r="H160" s="346" t="s">
        <v>246</v>
      </c>
    </row>
    <row r="161" spans="1:8" ht="24">
      <c r="A161" s="498"/>
      <c r="B161" s="346" t="s">
        <v>258</v>
      </c>
      <c r="C161" s="346" t="s">
        <v>637</v>
      </c>
      <c r="D161" s="345" t="s">
        <v>638</v>
      </c>
      <c r="E161" s="346" t="s">
        <v>17</v>
      </c>
      <c r="F161" s="510">
        <v>1</v>
      </c>
      <c r="G161" s="510">
        <f>(2199.9+158.65)/(2.5+3.5+2.5)</f>
        <v>277.47647058823532</v>
      </c>
      <c r="H161" s="497">
        <f>F161*G161</f>
        <v>277.47647058823532</v>
      </c>
    </row>
    <row r="162" spans="1:8" ht="24">
      <c r="A162" s="346"/>
      <c r="B162" s="346" t="s">
        <v>161</v>
      </c>
      <c r="C162" s="498">
        <v>88278</v>
      </c>
      <c r="D162" s="500" t="s">
        <v>639</v>
      </c>
      <c r="E162" s="498" t="s">
        <v>239</v>
      </c>
      <c r="F162" s="511">
        <f>2.5/(2.5+3.5+2.5)</f>
        <v>0.29411764705882354</v>
      </c>
      <c r="G162" s="511">
        <f>$E$20</f>
        <v>19.18</v>
      </c>
      <c r="H162" s="497">
        <f>F162*G162</f>
        <v>5.6411764705882357</v>
      </c>
    </row>
    <row r="163" spans="1:8" ht="24">
      <c r="A163" s="346"/>
      <c r="B163" s="346" t="s">
        <v>161</v>
      </c>
      <c r="C163" s="498">
        <v>88240</v>
      </c>
      <c r="D163" s="500" t="s">
        <v>640</v>
      </c>
      <c r="E163" s="498" t="s">
        <v>239</v>
      </c>
      <c r="F163" s="511">
        <f>2/(2.5+3.5+2.5)</f>
        <v>0.23529411764705882</v>
      </c>
      <c r="G163" s="511">
        <f>$E$21</f>
        <v>14.09</v>
      </c>
      <c r="H163" s="497">
        <f>F163*G163</f>
        <v>3.3152941176470589</v>
      </c>
    </row>
    <row r="164" spans="1:8">
      <c r="A164" s="348"/>
      <c r="B164" s="355"/>
      <c r="C164" s="356"/>
      <c r="D164" s="361"/>
      <c r="E164" s="348"/>
      <c r="F164" s="512"/>
      <c r="G164" s="513" t="s">
        <v>248</v>
      </c>
      <c r="H164" s="497">
        <f>SUM(H161:H163)</f>
        <v>286.43294117647059</v>
      </c>
    </row>
    <row r="166" spans="1:8" ht="48">
      <c r="A166" s="346" t="str">
        <f>SERVIÇOS!A161</f>
        <v>12.26</v>
      </c>
      <c r="B166" s="346" t="s">
        <v>320</v>
      </c>
      <c r="C166" s="346"/>
      <c r="D166" s="345" t="s">
        <v>641</v>
      </c>
      <c r="E166" s="346" t="s">
        <v>2</v>
      </c>
      <c r="F166" s="346" t="s">
        <v>244</v>
      </c>
      <c r="G166" s="346" t="s">
        <v>245</v>
      </c>
      <c r="H166" s="346" t="s">
        <v>246</v>
      </c>
    </row>
    <row r="167" spans="1:8" ht="36">
      <c r="A167" s="498"/>
      <c r="B167" s="346" t="s">
        <v>247</v>
      </c>
      <c r="C167" s="346" t="s">
        <v>792</v>
      </c>
      <c r="D167" s="345" t="s">
        <v>642</v>
      </c>
      <c r="E167" s="346" t="s">
        <v>2</v>
      </c>
      <c r="F167" s="497">
        <v>1</v>
      </c>
      <c r="G167" s="497">
        <v>2506.0700000000002</v>
      </c>
      <c r="H167" s="497">
        <f>F167*G167</f>
        <v>2506.0700000000002</v>
      </c>
    </row>
    <row r="168" spans="1:8">
      <c r="A168" s="348"/>
      <c r="B168" s="355"/>
      <c r="C168" s="356"/>
      <c r="D168" s="361"/>
      <c r="E168" s="348"/>
      <c r="F168" s="348"/>
      <c r="G168" s="346" t="s">
        <v>248</v>
      </c>
      <c r="H168" s="497">
        <f>SUM(H167:H167)</f>
        <v>2506.0700000000002</v>
      </c>
    </row>
    <row r="170" spans="1:8">
      <c r="A170" s="348"/>
      <c r="B170" s="355"/>
      <c r="C170" s="356"/>
      <c r="D170" s="361"/>
      <c r="E170" s="348"/>
      <c r="F170" s="348"/>
      <c r="G170" s="506"/>
      <c r="H170" s="507"/>
    </row>
    <row r="171" spans="1:8" ht="36">
      <c r="A171" s="346" t="str">
        <f>SERVIÇOS!A141</f>
        <v>12.6</v>
      </c>
      <c r="B171" s="346" t="s">
        <v>320</v>
      </c>
      <c r="C171" s="346" t="s">
        <v>321</v>
      </c>
      <c r="D171" s="345" t="s">
        <v>322</v>
      </c>
      <c r="E171" s="346" t="s">
        <v>17</v>
      </c>
      <c r="F171" s="346" t="s">
        <v>244</v>
      </c>
      <c r="G171" s="346" t="s">
        <v>245</v>
      </c>
      <c r="H171" s="346" t="s">
        <v>246</v>
      </c>
    </row>
    <row r="172" spans="1:8" ht="24">
      <c r="A172" s="346"/>
      <c r="B172" s="346" t="s">
        <v>247</v>
      </c>
      <c r="C172" s="346" t="s">
        <v>323</v>
      </c>
      <c r="D172" s="345" t="s">
        <v>268</v>
      </c>
      <c r="E172" s="346" t="s">
        <v>239</v>
      </c>
      <c r="F172" s="346">
        <v>0.221</v>
      </c>
      <c r="G172" s="347">
        <f>$E$19</f>
        <v>17.829999999999998</v>
      </c>
      <c r="H172" s="346">
        <f>F172*G172</f>
        <v>3.9404299999999997</v>
      </c>
    </row>
    <row r="173" spans="1:8">
      <c r="A173" s="346"/>
      <c r="B173" s="346" t="s">
        <v>247</v>
      </c>
      <c r="C173" s="346" t="s">
        <v>324</v>
      </c>
      <c r="D173" s="345" t="s">
        <v>269</v>
      </c>
      <c r="E173" s="346" t="s">
        <v>239</v>
      </c>
      <c r="F173" s="346">
        <v>0.221</v>
      </c>
      <c r="G173" s="347">
        <f>$E$18</f>
        <v>22</v>
      </c>
      <c r="H173" s="346">
        <f>F173*G173</f>
        <v>4.8620000000000001</v>
      </c>
    </row>
    <row r="174" spans="1:8" ht="24">
      <c r="A174" s="346"/>
      <c r="B174" s="346" t="s">
        <v>256</v>
      </c>
      <c r="C174" s="346" t="s">
        <v>325</v>
      </c>
      <c r="D174" s="345" t="s">
        <v>326</v>
      </c>
      <c r="E174" s="346" t="s">
        <v>2</v>
      </c>
      <c r="F174" s="346">
        <v>1</v>
      </c>
      <c r="G174" s="346">
        <v>2.3199999999999998</v>
      </c>
      <c r="H174" s="346">
        <f>F174*G174</f>
        <v>2.3199999999999998</v>
      </c>
    </row>
    <row r="175" spans="1:8" ht="24">
      <c r="A175" s="346"/>
      <c r="B175" s="346" t="s">
        <v>258</v>
      </c>
      <c r="C175" s="346">
        <v>11950</v>
      </c>
      <c r="D175" s="345" t="s">
        <v>327</v>
      </c>
      <c r="E175" s="346" t="s">
        <v>2</v>
      </c>
      <c r="F175" s="346">
        <v>2</v>
      </c>
      <c r="G175" s="346">
        <v>0.16</v>
      </c>
      <c r="H175" s="346">
        <f>F175*G175</f>
        <v>0.32</v>
      </c>
    </row>
    <row r="176" spans="1:8">
      <c r="A176" s="346"/>
      <c r="B176" s="346" t="s">
        <v>258</v>
      </c>
      <c r="C176" s="346">
        <v>39253</v>
      </c>
      <c r="D176" s="345" t="s">
        <v>328</v>
      </c>
      <c r="E176" s="346" t="s">
        <v>17</v>
      </c>
      <c r="F176" s="346">
        <v>1.02</v>
      </c>
      <c r="G176" s="346">
        <v>6.77</v>
      </c>
      <c r="H176" s="346">
        <f>F176*G176</f>
        <v>6.9053999999999993</v>
      </c>
    </row>
    <row r="177" spans="1:8">
      <c r="A177" s="348"/>
      <c r="B177" s="355"/>
      <c r="C177" s="356"/>
      <c r="D177" s="361"/>
      <c r="E177" s="348"/>
      <c r="F177" s="348"/>
      <c r="G177" s="346" t="s">
        <v>248</v>
      </c>
      <c r="H177" s="347">
        <f>SUM(H172:H176)</f>
        <v>18.347829999999998</v>
      </c>
    </row>
    <row r="179" spans="1:8" ht="36">
      <c r="A179" s="346" t="str">
        <f>SERVIÇOS!A142</f>
        <v>12.7</v>
      </c>
      <c r="B179" s="346" t="s">
        <v>320</v>
      </c>
      <c r="C179" s="346" t="s">
        <v>321</v>
      </c>
      <c r="D179" s="345" t="s">
        <v>335</v>
      </c>
      <c r="E179" s="346" t="s">
        <v>17</v>
      </c>
      <c r="F179" s="346" t="s">
        <v>244</v>
      </c>
      <c r="G179" s="346" t="s">
        <v>245</v>
      </c>
      <c r="H179" s="346" t="s">
        <v>246</v>
      </c>
    </row>
    <row r="180" spans="1:8" ht="24">
      <c r="A180" s="346"/>
      <c r="B180" s="346" t="s">
        <v>247</v>
      </c>
      <c r="C180" s="346" t="s">
        <v>323</v>
      </c>
      <c r="D180" s="345" t="s">
        <v>268</v>
      </c>
      <c r="E180" s="346" t="s">
        <v>239</v>
      </c>
      <c r="F180" s="346">
        <v>0.221</v>
      </c>
      <c r="G180" s="347">
        <f>$E$19</f>
        <v>17.829999999999998</v>
      </c>
      <c r="H180" s="346">
        <f>F180*G180</f>
        <v>3.9404299999999997</v>
      </c>
    </row>
    <row r="181" spans="1:8">
      <c r="A181" s="346"/>
      <c r="B181" s="346" t="s">
        <v>247</v>
      </c>
      <c r="C181" s="346" t="s">
        <v>324</v>
      </c>
      <c r="D181" s="345" t="s">
        <v>269</v>
      </c>
      <c r="E181" s="346" t="s">
        <v>239</v>
      </c>
      <c r="F181" s="346">
        <v>0.221</v>
      </c>
      <c r="G181" s="347">
        <f>$E$18</f>
        <v>22</v>
      </c>
      <c r="H181" s="346">
        <f>F181*G181</f>
        <v>4.8620000000000001</v>
      </c>
    </row>
    <row r="182" spans="1:8" ht="24">
      <c r="A182" s="346"/>
      <c r="B182" s="346" t="s">
        <v>256</v>
      </c>
      <c r="C182" s="346" t="s">
        <v>325</v>
      </c>
      <c r="D182" s="345" t="s">
        <v>336</v>
      </c>
      <c r="E182" s="346" t="s">
        <v>2</v>
      </c>
      <c r="F182" s="346">
        <v>1</v>
      </c>
      <c r="G182" s="346">
        <v>4.3899999999999997</v>
      </c>
      <c r="H182" s="346">
        <f>F182*G182</f>
        <v>4.3899999999999997</v>
      </c>
    </row>
    <row r="183" spans="1:8" ht="24">
      <c r="A183" s="346"/>
      <c r="B183" s="346" t="s">
        <v>258</v>
      </c>
      <c r="C183" s="346">
        <v>11950</v>
      </c>
      <c r="D183" s="345" t="s">
        <v>327</v>
      </c>
      <c r="E183" s="346" t="s">
        <v>2</v>
      </c>
      <c r="F183" s="346">
        <v>2</v>
      </c>
      <c r="G183" s="346">
        <v>0.16</v>
      </c>
      <c r="H183" s="346">
        <f>F183*G183</f>
        <v>0.32</v>
      </c>
    </row>
    <row r="184" spans="1:8">
      <c r="A184" s="346"/>
      <c r="B184" s="346" t="s">
        <v>258</v>
      </c>
      <c r="C184" s="346">
        <v>39255</v>
      </c>
      <c r="D184" s="345" t="s">
        <v>330</v>
      </c>
      <c r="E184" s="346" t="s">
        <v>17</v>
      </c>
      <c r="F184" s="346">
        <v>1.02</v>
      </c>
      <c r="G184" s="346">
        <v>9.83</v>
      </c>
      <c r="H184" s="346">
        <f>F184*G184</f>
        <v>10.0266</v>
      </c>
    </row>
    <row r="185" spans="1:8">
      <c r="A185" s="348"/>
      <c r="B185" s="355"/>
      <c r="C185" s="356"/>
      <c r="D185" s="361"/>
      <c r="E185" s="348"/>
      <c r="F185" s="348"/>
      <c r="G185" s="346" t="s">
        <v>248</v>
      </c>
      <c r="H185" s="347">
        <f>SUM(H180:H184)</f>
        <v>23.539029999999997</v>
      </c>
    </row>
    <row r="187" spans="1:8" ht="36">
      <c r="A187" s="346" t="str">
        <f>SERVIÇOS!A143</f>
        <v>12.8</v>
      </c>
      <c r="B187" s="346" t="s">
        <v>320</v>
      </c>
      <c r="C187" s="346" t="s">
        <v>321</v>
      </c>
      <c r="D187" s="345" t="s">
        <v>337</v>
      </c>
      <c r="E187" s="346" t="s">
        <v>2</v>
      </c>
      <c r="F187" s="346" t="s">
        <v>244</v>
      </c>
      <c r="G187" s="346" t="s">
        <v>245</v>
      </c>
      <c r="H187" s="346" t="s">
        <v>246</v>
      </c>
    </row>
    <row r="188" spans="1:8" ht="24">
      <c r="A188" s="346"/>
      <c r="B188" s="346" t="s">
        <v>247</v>
      </c>
      <c r="C188" s="346" t="s">
        <v>323</v>
      </c>
      <c r="D188" s="345" t="s">
        <v>268</v>
      </c>
      <c r="E188" s="346" t="s">
        <v>239</v>
      </c>
      <c r="F188" s="346">
        <v>0.40899999999999997</v>
      </c>
      <c r="G188" s="347">
        <f>$E$19</f>
        <v>17.829999999999998</v>
      </c>
      <c r="H188" s="346">
        <f>F188*G188</f>
        <v>7.2924699999999989</v>
      </c>
    </row>
    <row r="189" spans="1:8">
      <c r="A189" s="346"/>
      <c r="B189" s="346" t="s">
        <v>247</v>
      </c>
      <c r="C189" s="346" t="s">
        <v>324</v>
      </c>
      <c r="D189" s="345" t="s">
        <v>269</v>
      </c>
      <c r="E189" s="346" t="s">
        <v>239</v>
      </c>
      <c r="F189" s="346">
        <v>0.40899999999999997</v>
      </c>
      <c r="G189" s="347">
        <f>$E$18</f>
        <v>22</v>
      </c>
      <c r="H189" s="346">
        <f>F189*G189</f>
        <v>8.9979999999999993</v>
      </c>
    </row>
    <row r="190" spans="1:8" ht="24">
      <c r="A190" s="346"/>
      <c r="B190" s="346" t="s">
        <v>256</v>
      </c>
      <c r="C190" s="346" t="s">
        <v>331</v>
      </c>
      <c r="D190" s="345" t="s">
        <v>332</v>
      </c>
      <c r="E190" s="346" t="s">
        <v>2</v>
      </c>
      <c r="F190" s="346">
        <v>1</v>
      </c>
      <c r="G190" s="346">
        <v>6.8</v>
      </c>
      <c r="H190" s="346">
        <f>F190*G190</f>
        <v>6.8</v>
      </c>
    </row>
    <row r="191" spans="1:8" ht="24">
      <c r="A191" s="346"/>
      <c r="B191" s="346" t="s">
        <v>258</v>
      </c>
      <c r="C191" s="346">
        <v>11950</v>
      </c>
      <c r="D191" s="345" t="s">
        <v>327</v>
      </c>
      <c r="E191" s="346" t="s">
        <v>2</v>
      </c>
      <c r="F191" s="346">
        <v>2</v>
      </c>
      <c r="G191" s="346">
        <v>0.16</v>
      </c>
      <c r="H191" s="346">
        <f>F191*G191</f>
        <v>0.32</v>
      </c>
    </row>
    <row r="192" spans="1:8" ht="24">
      <c r="A192" s="346"/>
      <c r="B192" s="346" t="s">
        <v>256</v>
      </c>
      <c r="C192" s="346" t="s">
        <v>331</v>
      </c>
      <c r="D192" s="345" t="s">
        <v>333</v>
      </c>
      <c r="E192" s="346" t="s">
        <v>2</v>
      </c>
      <c r="F192" s="346">
        <v>1</v>
      </c>
      <c r="G192" s="346">
        <v>0.7</v>
      </c>
      <c r="H192" s="346">
        <f>G192*F192</f>
        <v>0.7</v>
      </c>
    </row>
    <row r="193" spans="1:8" ht="24">
      <c r="A193" s="346"/>
      <c r="B193" s="346" t="s">
        <v>256</v>
      </c>
      <c r="C193" s="346" t="s">
        <v>331</v>
      </c>
      <c r="D193" s="345" t="s">
        <v>338</v>
      </c>
      <c r="E193" s="346" t="s">
        <v>2</v>
      </c>
      <c r="F193" s="346">
        <v>2</v>
      </c>
      <c r="G193" s="346">
        <v>5.5</v>
      </c>
      <c r="H193" s="346">
        <f>G193*F193</f>
        <v>11</v>
      </c>
    </row>
    <row r="194" spans="1:8" ht="24">
      <c r="A194" s="346"/>
      <c r="B194" s="346" t="s">
        <v>256</v>
      </c>
      <c r="C194" s="346" t="s">
        <v>331</v>
      </c>
      <c r="D194" s="345" t="s">
        <v>334</v>
      </c>
      <c r="E194" s="346" t="s">
        <v>2</v>
      </c>
      <c r="F194" s="346">
        <v>1</v>
      </c>
      <c r="G194" s="346">
        <v>4.9000000000000004</v>
      </c>
      <c r="H194" s="346">
        <f>F194*G194</f>
        <v>4.9000000000000004</v>
      </c>
    </row>
    <row r="195" spans="1:8">
      <c r="A195" s="348"/>
      <c r="B195" s="355"/>
      <c r="C195" s="356"/>
      <c r="D195" s="361"/>
      <c r="E195" s="348"/>
      <c r="F195" s="348"/>
      <c r="G195" s="346" t="s">
        <v>248</v>
      </c>
      <c r="H195" s="347">
        <f>SUM(H188:H194)</f>
        <v>40.010469999999998</v>
      </c>
    </row>
    <row r="196" spans="1:8">
      <c r="A196" s="348"/>
      <c r="B196" s="355"/>
      <c r="C196" s="356"/>
      <c r="D196" s="361"/>
      <c r="E196" s="348"/>
      <c r="F196" s="348"/>
      <c r="G196" s="362"/>
      <c r="H196" s="515"/>
    </row>
    <row r="198" spans="1:8" ht="36">
      <c r="A198" s="346" t="str">
        <f>SERVIÇOS!A180</f>
        <v>15.3</v>
      </c>
      <c r="B198" s="346" t="s">
        <v>320</v>
      </c>
      <c r="C198" s="346" t="s">
        <v>321</v>
      </c>
      <c r="D198" s="345" t="s">
        <v>339</v>
      </c>
      <c r="E198" s="346" t="s">
        <v>2</v>
      </c>
      <c r="F198" s="346" t="s">
        <v>244</v>
      </c>
      <c r="G198" s="346" t="s">
        <v>245</v>
      </c>
      <c r="H198" s="346" t="s">
        <v>246</v>
      </c>
    </row>
    <row r="199" spans="1:8" ht="24">
      <c r="A199" s="346"/>
      <c r="B199" s="346" t="s">
        <v>247</v>
      </c>
      <c r="C199" s="346" t="s">
        <v>323</v>
      </c>
      <c r="D199" s="345" t="s">
        <v>268</v>
      </c>
      <c r="E199" s="346" t="s">
        <v>239</v>
      </c>
      <c r="F199" s="346">
        <v>0.40899999999999997</v>
      </c>
      <c r="G199" s="347">
        <f>$E$19</f>
        <v>17.829999999999998</v>
      </c>
      <c r="H199" s="346">
        <f>F199*G199</f>
        <v>7.2924699999999989</v>
      </c>
    </row>
    <row r="200" spans="1:8">
      <c r="A200" s="346"/>
      <c r="B200" s="346" t="s">
        <v>247</v>
      </c>
      <c r="C200" s="346" t="s">
        <v>324</v>
      </c>
      <c r="D200" s="345" t="s">
        <v>269</v>
      </c>
      <c r="E200" s="346" t="s">
        <v>239</v>
      </c>
      <c r="F200" s="346">
        <v>0.40899999999999997</v>
      </c>
      <c r="G200" s="347">
        <f>$E$18</f>
        <v>22</v>
      </c>
      <c r="H200" s="346">
        <f>F200*G200</f>
        <v>8.9979999999999993</v>
      </c>
    </row>
    <row r="201" spans="1:8" ht="24">
      <c r="A201" s="346"/>
      <c r="B201" s="346" t="s">
        <v>256</v>
      </c>
      <c r="C201" s="346" t="s">
        <v>331</v>
      </c>
      <c r="D201" s="345" t="s">
        <v>332</v>
      </c>
      <c r="E201" s="346" t="s">
        <v>2</v>
      </c>
      <c r="F201" s="346">
        <v>1</v>
      </c>
      <c r="G201" s="346">
        <v>6.8</v>
      </c>
      <c r="H201" s="346">
        <f>F201*G201</f>
        <v>6.8</v>
      </c>
    </row>
    <row r="202" spans="1:8" ht="24">
      <c r="A202" s="346"/>
      <c r="B202" s="346" t="s">
        <v>258</v>
      </c>
      <c r="C202" s="346">
        <v>11950</v>
      </c>
      <c r="D202" s="345" t="s">
        <v>327</v>
      </c>
      <c r="E202" s="346" t="s">
        <v>2</v>
      </c>
      <c r="F202" s="346">
        <v>2</v>
      </c>
      <c r="G202" s="346">
        <v>0.16</v>
      </c>
      <c r="H202" s="346">
        <f>F202*G202</f>
        <v>0.32</v>
      </c>
    </row>
    <row r="203" spans="1:8" ht="24">
      <c r="A203" s="346"/>
      <c r="B203" s="346" t="s">
        <v>256</v>
      </c>
      <c r="C203" s="346" t="s">
        <v>331</v>
      </c>
      <c r="D203" s="345" t="s">
        <v>333</v>
      </c>
      <c r="E203" s="346" t="s">
        <v>2</v>
      </c>
      <c r="F203" s="346">
        <v>1</v>
      </c>
      <c r="G203" s="346">
        <v>0.7</v>
      </c>
      <c r="H203" s="346">
        <f>G203*F203</f>
        <v>0.7</v>
      </c>
    </row>
    <row r="204" spans="1:8">
      <c r="A204" s="346"/>
      <c r="B204" s="346" t="s">
        <v>258</v>
      </c>
      <c r="C204" s="346" t="s">
        <v>341</v>
      </c>
      <c r="D204" s="345" t="str">
        <f>UPPER("Conector rj-45 fêmea cat 6")</f>
        <v>CONECTOR RJ-45 FÊMEA CAT 6</v>
      </c>
      <c r="E204" s="346" t="s">
        <v>2</v>
      </c>
      <c r="F204" s="346">
        <v>2</v>
      </c>
      <c r="G204" s="346">
        <v>15.52</v>
      </c>
      <c r="H204" s="346">
        <f>G204*F204</f>
        <v>31.04</v>
      </c>
    </row>
    <row r="205" spans="1:8" ht="24">
      <c r="A205" s="346"/>
      <c r="B205" s="346" t="s">
        <v>256</v>
      </c>
      <c r="C205" s="346" t="s">
        <v>331</v>
      </c>
      <c r="D205" s="345" t="s">
        <v>340</v>
      </c>
      <c r="E205" s="346" t="s">
        <v>2</v>
      </c>
      <c r="F205" s="346">
        <v>1</v>
      </c>
      <c r="G205" s="346">
        <v>6.97</v>
      </c>
      <c r="H205" s="346">
        <f>F205*G205</f>
        <v>6.97</v>
      </c>
    </row>
    <row r="206" spans="1:8">
      <c r="A206" s="348"/>
      <c r="B206" s="355"/>
      <c r="C206" s="356"/>
      <c r="D206" s="361"/>
      <c r="E206" s="348"/>
      <c r="F206" s="348"/>
      <c r="G206" s="346" t="s">
        <v>248</v>
      </c>
      <c r="H206" s="347">
        <f>SUM(H199:H205)</f>
        <v>62.120469999999997</v>
      </c>
    </row>
    <row r="207" spans="1:8" ht="13.5" thickBot="1"/>
    <row r="208" spans="1:8" ht="18.75" thickBot="1">
      <c r="A208" s="649" t="str">
        <f>SERVIÇOS!C162</f>
        <v>CLIMATIZAÇÃO</v>
      </c>
      <c r="B208" s="650"/>
      <c r="C208" s="650"/>
      <c r="D208" s="650"/>
      <c r="E208" s="650"/>
      <c r="F208" s="650"/>
      <c r="G208" s="650"/>
      <c r="H208" s="651"/>
    </row>
    <row r="210" spans="1:8" ht="36">
      <c r="A210" s="346" t="str">
        <f>SERVIÇOS!A169</f>
        <v>13.7</v>
      </c>
      <c r="B210" s="346"/>
      <c r="C210" s="346">
        <v>89865</v>
      </c>
      <c r="D210" s="345" t="s">
        <v>659</v>
      </c>
      <c r="E210" s="346" t="s">
        <v>17</v>
      </c>
      <c r="F210" s="346" t="s">
        <v>244</v>
      </c>
      <c r="G210" s="346" t="s">
        <v>245</v>
      </c>
      <c r="H210" s="346" t="s">
        <v>246</v>
      </c>
    </row>
    <row r="211" spans="1:8" ht="24">
      <c r="A211" s="346"/>
      <c r="B211" s="504" t="s">
        <v>258</v>
      </c>
      <c r="C211" s="504">
        <v>9869</v>
      </c>
      <c r="D211" s="505" t="s">
        <v>660</v>
      </c>
      <c r="E211" s="504" t="s">
        <v>17</v>
      </c>
      <c r="F211" s="346">
        <v>1.1000000000000001</v>
      </c>
      <c r="G211" s="347">
        <v>5.67</v>
      </c>
      <c r="H211" s="497">
        <f>F211*G211</f>
        <v>6.2370000000000001</v>
      </c>
    </row>
    <row r="212" spans="1:8">
      <c r="A212" s="346"/>
      <c r="B212" s="504" t="s">
        <v>258</v>
      </c>
      <c r="C212" s="504">
        <v>38383</v>
      </c>
      <c r="D212" s="505" t="s">
        <v>656</v>
      </c>
      <c r="E212" s="504" t="s">
        <v>657</v>
      </c>
      <c r="F212" s="346">
        <v>1.1000000000000001</v>
      </c>
      <c r="G212" s="347">
        <v>1.43</v>
      </c>
      <c r="H212" s="497">
        <f>F212*G212</f>
        <v>1.573</v>
      </c>
    </row>
    <row r="213" spans="1:8" ht="24">
      <c r="A213" s="346"/>
      <c r="B213" s="504" t="s">
        <v>247</v>
      </c>
      <c r="C213" s="504">
        <v>88248</v>
      </c>
      <c r="D213" s="505" t="s">
        <v>343</v>
      </c>
      <c r="E213" s="504" t="s">
        <v>239</v>
      </c>
      <c r="F213" s="346">
        <v>0.06</v>
      </c>
      <c r="G213" s="347">
        <f>$E$17</f>
        <v>17.64</v>
      </c>
      <c r="H213" s="497">
        <f>F213*G213</f>
        <v>1.0584</v>
      </c>
    </row>
    <row r="214" spans="1:8" ht="24">
      <c r="A214" s="346"/>
      <c r="B214" s="504" t="s">
        <v>247</v>
      </c>
      <c r="C214" s="504">
        <v>88267</v>
      </c>
      <c r="D214" s="505" t="s">
        <v>344</v>
      </c>
      <c r="E214" s="504" t="s">
        <v>239</v>
      </c>
      <c r="F214" s="346">
        <v>1.05</v>
      </c>
      <c r="G214" s="347">
        <f>$E$16</f>
        <v>21.75</v>
      </c>
      <c r="H214" s="497">
        <f>F214*G214</f>
        <v>22.837500000000002</v>
      </c>
    </row>
    <row r="215" spans="1:8">
      <c r="A215" s="348"/>
      <c r="B215" s="355"/>
      <c r="C215" s="356"/>
      <c r="D215" s="361"/>
      <c r="E215" s="348"/>
      <c r="F215" s="348"/>
      <c r="G215" s="346" t="s">
        <v>248</v>
      </c>
      <c r="H215" s="347">
        <f>SUM(H211:H214)</f>
        <v>31.705900000000003</v>
      </c>
    </row>
  </sheetData>
  <mergeCells count="15">
    <mergeCell ref="A44:H44"/>
    <mergeCell ref="A124:H124"/>
    <mergeCell ref="A208:H208"/>
    <mergeCell ref="A23:H23"/>
    <mergeCell ref="A57:H57"/>
    <mergeCell ref="A32:H32"/>
    <mergeCell ref="A1:D1"/>
    <mergeCell ref="A2:D2"/>
    <mergeCell ref="A3:E3"/>
    <mergeCell ref="E4:F4"/>
    <mergeCell ref="E6:F6"/>
    <mergeCell ref="E7:F7"/>
    <mergeCell ref="A6:C6"/>
    <mergeCell ref="A5:D5"/>
    <mergeCell ref="E5:F5"/>
  </mergeCells>
  <conditionalFormatting sqref="H213:H214 A26:H29 C15:D19 H135:H138 H142:H145 G150 G156 B167:H167">
    <cfRule type="expression" dxfId="294" priority="561" stopIfTrue="1">
      <formula>AND($A15&lt;&gt;"COMPOSICAO",$A15&lt;&gt;"INSUMO",$A15&lt;&gt;"")</formula>
    </cfRule>
    <cfRule type="expression" dxfId="293" priority="562" stopIfTrue="1">
      <formula>AND(OR($A15="COMPOSICAO",$A15="INSUMO",$A15&lt;&gt;""),$A15&lt;&gt;"")</formula>
    </cfRule>
  </conditionalFormatting>
  <conditionalFormatting sqref="D9:D13">
    <cfRule type="expression" dxfId="292" priority="595" stopIfTrue="1">
      <formula>AND($A9&lt;&gt;"COMPOSICAO",$A9&lt;&gt;"INSUMO",$A9&lt;&gt;"")</formula>
    </cfRule>
    <cfRule type="expression" dxfId="291" priority="596" stopIfTrue="1">
      <formula>AND(OR($A9="COMPOSICAO",$A9="INSUMO",$A9&lt;&gt;""),$A9&lt;&gt;"")</formula>
    </cfRule>
  </conditionalFormatting>
  <conditionalFormatting sqref="C9:C13">
    <cfRule type="expression" dxfId="290" priority="589" stopIfTrue="1">
      <formula>AND($A9&lt;&gt;"COMPOSICAO",$A9&lt;&gt;"INSUMO",$A9&lt;&gt;"")</formula>
    </cfRule>
    <cfRule type="expression" dxfId="289" priority="590" stopIfTrue="1">
      <formula>AND(OR($A9="COMPOSICAO",$A9="INSUMO",$A9&lt;&gt;""),$A9&lt;&gt;"")</formula>
    </cfRule>
  </conditionalFormatting>
  <conditionalFormatting sqref="C14">
    <cfRule type="expression" dxfId="288" priority="587" stopIfTrue="1">
      <formula>AND($A14&lt;&gt;"COMPOSICAO",$A14&lt;&gt;"INSUMO",$A14&lt;&gt;"")</formula>
    </cfRule>
    <cfRule type="expression" dxfId="287" priority="588" stopIfTrue="1">
      <formula>AND(OR($A14="COMPOSICAO",$A14="INSUMO",$A14&lt;&gt;""),$A14&lt;&gt;"")</formula>
    </cfRule>
  </conditionalFormatting>
  <conditionalFormatting sqref="D14">
    <cfRule type="expression" dxfId="286" priority="585" stopIfTrue="1">
      <formula>AND($A14&lt;&gt;"COMPOSICAO",$A14&lt;&gt;"INSUMO",$A14&lt;&gt;"")</formula>
    </cfRule>
    <cfRule type="expression" dxfId="285" priority="586" stopIfTrue="1">
      <formula>AND(OR($A14="COMPOSICAO",$A14="INSUMO",$A14&lt;&gt;""),$A14&lt;&gt;"")</formula>
    </cfRule>
  </conditionalFormatting>
  <conditionalFormatting sqref="G195:H196">
    <cfRule type="expression" dxfId="284" priority="555" stopIfTrue="1">
      <formula>AND($B195&lt;&gt;"COMPOSICAO",$B195&lt;&gt;"INSUMO",$B195&lt;&gt;"")</formula>
    </cfRule>
    <cfRule type="expression" dxfId="283" priority="556" stopIfTrue="1">
      <formula>AND(OR($B195="COMPOSICAO",$B195="INSUMO",$B195&lt;&gt;""),$B195&lt;&gt;"")</formula>
    </cfRule>
  </conditionalFormatting>
  <conditionalFormatting sqref="C22">
    <cfRule type="expression" dxfId="282" priority="521" stopIfTrue="1">
      <formula>AND($A22&lt;&gt;"COMPOSICAO",$A22&lt;&gt;"INSUMO",$A22&lt;&gt;"")</formula>
    </cfRule>
    <cfRule type="expression" dxfId="281" priority="522" stopIfTrue="1">
      <formula>AND(OR($A22="COMPOSICAO",$A22="INSUMO",$A22&lt;&gt;""),$A22&lt;&gt;"")</formula>
    </cfRule>
  </conditionalFormatting>
  <conditionalFormatting sqref="D22">
    <cfRule type="expression" dxfId="280" priority="519" stopIfTrue="1">
      <formula>AND($A22&lt;&gt;"COMPOSICAO",$A22&lt;&gt;"INSUMO",$A22&lt;&gt;"")</formula>
    </cfRule>
    <cfRule type="expression" dxfId="279" priority="520" stopIfTrue="1">
      <formula>AND(OR($A22="COMPOSICAO",$A22="INSUMO",$A22&lt;&gt;""),$A22&lt;&gt;"")</formula>
    </cfRule>
  </conditionalFormatting>
  <conditionalFormatting sqref="A173:A176">
    <cfRule type="expression" dxfId="278" priority="491" stopIfTrue="1">
      <formula>AND($A173&lt;&gt;"COMPOSICAO",$A173&lt;&gt;"INSUMO",$A173&lt;&gt;"")</formula>
    </cfRule>
    <cfRule type="expression" dxfId="277" priority="492" stopIfTrue="1">
      <formula>AND(OR($A173="COMPOSICAO",$A173="INSUMO",$A173&lt;&gt;""),$A173&lt;&gt;"")</formula>
    </cfRule>
  </conditionalFormatting>
  <conditionalFormatting sqref="A171:H171 B172:F176 H172:H176">
    <cfRule type="expression" dxfId="276" priority="493" stopIfTrue="1">
      <formula>AND($A171&lt;&gt;"COMPOSICAO",$A171&lt;&gt;"INSUMO",$A171&lt;&gt;"")</formula>
    </cfRule>
    <cfRule type="expression" dxfId="275" priority="494" stopIfTrue="1">
      <formula>AND(OR($A171="COMPOSICAO",$A171="INSUMO",$A171&lt;&gt;""),$A171&lt;&gt;"")</formula>
    </cfRule>
  </conditionalFormatting>
  <conditionalFormatting sqref="A172 G177:H177">
    <cfRule type="expression" dxfId="274" priority="495" stopIfTrue="1">
      <formula>AND($B172&lt;&gt;"COMPOSICAO",$B172&lt;&gt;"INSUMO",$B172&lt;&gt;"")</formula>
    </cfRule>
    <cfRule type="expression" dxfId="273" priority="496" stopIfTrue="1">
      <formula>AND(OR($B172="COMPOSICAO",$B172="INSUMO",$B172&lt;&gt;""),$B172&lt;&gt;"")</formula>
    </cfRule>
  </conditionalFormatting>
  <conditionalFormatting sqref="A181:A184">
    <cfRule type="expression" dxfId="272" priority="485" stopIfTrue="1">
      <formula>AND($A181&lt;&gt;"COMPOSICAO",$A181&lt;&gt;"INSUMO",$A181&lt;&gt;"")</formula>
    </cfRule>
    <cfRule type="expression" dxfId="271" priority="486" stopIfTrue="1">
      <formula>AND(OR($A181="COMPOSICAO",$A181="INSUMO",$A181&lt;&gt;""),$A181&lt;&gt;"")</formula>
    </cfRule>
  </conditionalFormatting>
  <conditionalFormatting sqref="A179:H179 B180:F184 H180:H184">
    <cfRule type="expression" dxfId="270" priority="487" stopIfTrue="1">
      <formula>AND($A179&lt;&gt;"COMPOSICAO",$A179&lt;&gt;"INSUMO",$A179&lt;&gt;"")</formula>
    </cfRule>
    <cfRule type="expression" dxfId="269" priority="488" stopIfTrue="1">
      <formula>AND(OR($A179="COMPOSICAO",$A179="INSUMO",$A179&lt;&gt;""),$A179&lt;&gt;"")</formula>
    </cfRule>
  </conditionalFormatting>
  <conditionalFormatting sqref="A180 G185:H185">
    <cfRule type="expression" dxfId="268" priority="489" stopIfTrue="1">
      <formula>AND($B180&lt;&gt;"COMPOSICAO",$B180&lt;&gt;"INSUMO",$B180&lt;&gt;"")</formula>
    </cfRule>
    <cfRule type="expression" dxfId="267" priority="490" stopIfTrue="1">
      <formula>AND(OR($B180="COMPOSICAO",$B180="INSUMO",$B180&lt;&gt;""),$B180&lt;&gt;"")</formula>
    </cfRule>
  </conditionalFormatting>
  <conditionalFormatting sqref="A187:H187 B188:F194 H188:H194">
    <cfRule type="expression" dxfId="266" priority="473" stopIfTrue="1">
      <formula>AND($A187&lt;&gt;"COMPOSICAO",$A187&lt;&gt;"INSUMO",$A187&lt;&gt;"")</formula>
    </cfRule>
    <cfRule type="expression" dxfId="265" priority="474" stopIfTrue="1">
      <formula>AND(OR($A187="COMPOSICAO",$A187="INSUMO",$A187&lt;&gt;""),$A187&lt;&gt;"")</formula>
    </cfRule>
  </conditionalFormatting>
  <conditionalFormatting sqref="A190">
    <cfRule type="expression" dxfId="264" priority="469" stopIfTrue="1">
      <formula>AND($A190&lt;&gt;"COMPOSICAO",$A190&lt;&gt;"INSUMO",$A190&lt;&gt;"")</formula>
    </cfRule>
    <cfRule type="expression" dxfId="263" priority="470" stopIfTrue="1">
      <formula>AND(OR($A190="COMPOSICAO",$A190="INSUMO",$A190&lt;&gt;""),$A190&lt;&gt;"")</formula>
    </cfRule>
  </conditionalFormatting>
  <conditionalFormatting sqref="A188:A189 A191">
    <cfRule type="expression" dxfId="262" priority="475" stopIfTrue="1">
      <formula>AND($B188&lt;&gt;"COMPOSICAO",$B188&lt;&gt;"INSUMO",$B188&lt;&gt;"")</formula>
    </cfRule>
    <cfRule type="expression" dxfId="261" priority="476" stopIfTrue="1">
      <formula>AND(OR($B188="COMPOSICAO",$B188="INSUMO",$B188&lt;&gt;""),$B188&lt;&gt;"")</formula>
    </cfRule>
  </conditionalFormatting>
  <conditionalFormatting sqref="A203:A205">
    <cfRule type="expression" dxfId="260" priority="455" stopIfTrue="1">
      <formula>AND($A203&lt;&gt;"COMPOSICAO",$A203&lt;&gt;"INSUMO",$A203&lt;&gt;"")</formula>
    </cfRule>
    <cfRule type="expression" dxfId="259" priority="456" stopIfTrue="1">
      <formula>AND(OR($A203="COMPOSICAO",$A203="INSUMO",$A203&lt;&gt;""),$A203&lt;&gt;"")</formula>
    </cfRule>
  </conditionalFormatting>
  <conditionalFormatting sqref="A192:A194">
    <cfRule type="expression" dxfId="258" priority="467" stopIfTrue="1">
      <formula>AND($A192&lt;&gt;"COMPOSICAO",$A192&lt;&gt;"INSUMO",$A192&lt;&gt;"")</formula>
    </cfRule>
    <cfRule type="expression" dxfId="257" priority="468" stopIfTrue="1">
      <formula>AND(OR($A192="COMPOSICAO",$A192="INSUMO",$A192&lt;&gt;""),$A192&lt;&gt;"")</formula>
    </cfRule>
  </conditionalFormatting>
  <conditionalFormatting sqref="G206:H206 A199:A200 A202">
    <cfRule type="expression" dxfId="256" priority="461" stopIfTrue="1">
      <formula>AND($B199&lt;&gt;"COMPOSICAO",$B199&lt;&gt;"INSUMO",$B199&lt;&gt;"")</formula>
    </cfRule>
    <cfRule type="expression" dxfId="255" priority="462" stopIfTrue="1">
      <formula>AND(OR($B199="COMPOSICAO",$B199="INSUMO",$B199&lt;&gt;""),$B199&lt;&gt;"")</formula>
    </cfRule>
  </conditionalFormatting>
  <conditionalFormatting sqref="A198:H198 B199:F205">
    <cfRule type="expression" dxfId="254" priority="459" stopIfTrue="1">
      <formula>AND($A198&lt;&gt;"COMPOSICAO",$A198&lt;&gt;"INSUMO",$A198&lt;&gt;"")</formula>
    </cfRule>
    <cfRule type="expression" dxfId="253" priority="460" stopIfTrue="1">
      <formula>AND(OR($A198="COMPOSICAO",$A198="INSUMO",$A198&lt;&gt;""),$A198&lt;&gt;"")</formula>
    </cfRule>
  </conditionalFormatting>
  <conditionalFormatting sqref="A201">
    <cfRule type="expression" dxfId="252" priority="457" stopIfTrue="1">
      <formula>AND($A201&lt;&gt;"COMPOSICAO",$A201&lt;&gt;"INSUMO",$A201&lt;&gt;"")</formula>
    </cfRule>
    <cfRule type="expression" dxfId="251" priority="458" stopIfTrue="1">
      <formula>AND(OR($A201="COMPOSICAO",$A201="INSUMO",$A201&lt;&gt;""),$A201&lt;&gt;"")</formula>
    </cfRule>
  </conditionalFormatting>
  <conditionalFormatting sqref="H211:H212">
    <cfRule type="expression" dxfId="250" priority="439" stopIfTrue="1">
      <formula>AND($A211&lt;&gt;"COMPOSICAO",$A211&lt;&gt;"INSUMO",$A211&lt;&gt;"")</formula>
    </cfRule>
    <cfRule type="expression" dxfId="249" priority="440" stopIfTrue="1">
      <formula>AND(OR($A211="COMPOSICAO",$A211="INSUMO",$A211&lt;&gt;""),$A211&lt;&gt;"")</formula>
    </cfRule>
  </conditionalFormatting>
  <conditionalFormatting sqref="H199:H205">
    <cfRule type="expression" dxfId="248" priority="453" stopIfTrue="1">
      <formula>AND($A199&lt;&gt;"COMPOSICAO",$A199&lt;&gt;"INSUMO",$A199&lt;&gt;"")</formula>
    </cfRule>
    <cfRule type="expression" dxfId="247" priority="454" stopIfTrue="1">
      <formula>AND(OR($A199="COMPOSICAO",$A199="INSUMO",$A199&lt;&gt;""),$A199&lt;&gt;"")</formula>
    </cfRule>
  </conditionalFormatting>
  <conditionalFormatting sqref="G215:H215 A211:A212 A214">
    <cfRule type="expression" dxfId="246" priority="447" stopIfTrue="1">
      <formula>AND($B211&lt;&gt;"COMPOSICAO",$B211&lt;&gt;"INSUMO",$B211&lt;&gt;"")</formula>
    </cfRule>
    <cfRule type="expression" dxfId="245" priority="448" stopIfTrue="1">
      <formula>AND(OR($B211="COMPOSICAO",$B211="INSUMO",$B211&lt;&gt;""),$B211&lt;&gt;"")</formula>
    </cfRule>
  </conditionalFormatting>
  <conditionalFormatting sqref="A210:H210">
    <cfRule type="expression" dxfId="244" priority="445" stopIfTrue="1">
      <formula>AND($A210&lt;&gt;"COMPOSICAO",$A210&lt;&gt;"INSUMO",$A210&lt;&gt;"")</formula>
    </cfRule>
    <cfRule type="expression" dxfId="243" priority="446" stopIfTrue="1">
      <formula>AND(OR($A210="COMPOSICAO",$A210="INSUMO",$A210&lt;&gt;""),$A210&lt;&gt;"")</formula>
    </cfRule>
  </conditionalFormatting>
  <conditionalFormatting sqref="A213">
    <cfRule type="expression" dxfId="242" priority="443" stopIfTrue="1">
      <formula>AND($A213&lt;&gt;"COMPOSICAO",$A213&lt;&gt;"INSUMO",$A213&lt;&gt;"")</formula>
    </cfRule>
    <cfRule type="expression" dxfId="241" priority="444" stopIfTrue="1">
      <formula>AND(OR($A213="COMPOSICAO",$A213="INSUMO",$A213&lt;&gt;""),$A213&lt;&gt;"")</formula>
    </cfRule>
  </conditionalFormatting>
  <conditionalFormatting sqref="F211:F214">
    <cfRule type="expression" dxfId="240" priority="433" stopIfTrue="1">
      <formula>AND($A211&lt;&gt;"COMPOSICAO",$A211&lt;&gt;"INSUMO",$A211&lt;&gt;"")</formula>
    </cfRule>
    <cfRule type="expression" dxfId="239" priority="434" stopIfTrue="1">
      <formula>AND(OR($A211="COMPOSICAO",$A211="INSUMO",$A211&lt;&gt;""),$A211&lt;&gt;"")</formula>
    </cfRule>
  </conditionalFormatting>
  <conditionalFormatting sqref="G172:G176">
    <cfRule type="expression" dxfId="238" priority="391" stopIfTrue="1">
      <formula>AND($A172&lt;&gt;"COMPOSICAO",$A172&lt;&gt;"INSUMO",$A172&lt;&gt;"")</formula>
    </cfRule>
    <cfRule type="expression" dxfId="237" priority="392" stopIfTrue="1">
      <formula>AND(OR($A172="COMPOSICAO",$A172="INSUMO",$A172&lt;&gt;""),$A172&lt;&gt;"")</formula>
    </cfRule>
  </conditionalFormatting>
  <conditionalFormatting sqref="G180:G184">
    <cfRule type="expression" dxfId="236" priority="389" stopIfTrue="1">
      <formula>AND($A180&lt;&gt;"COMPOSICAO",$A180&lt;&gt;"INSUMO",$A180&lt;&gt;"")</formula>
    </cfRule>
    <cfRule type="expression" dxfId="235" priority="390" stopIfTrue="1">
      <formula>AND(OR($A180="COMPOSICAO",$A180="INSUMO",$A180&lt;&gt;""),$A180&lt;&gt;"")</formula>
    </cfRule>
  </conditionalFormatting>
  <conditionalFormatting sqref="G190 G192:G194">
    <cfRule type="expression" dxfId="234" priority="383" stopIfTrue="1">
      <formula>AND($A190&lt;&gt;"COMPOSICAO",$A190&lt;&gt;"INSUMO",$A190&lt;&gt;"")</formula>
    </cfRule>
    <cfRule type="expression" dxfId="233" priority="384" stopIfTrue="1">
      <formula>AND(OR($A190="COMPOSICAO",$A190="INSUMO",$A190&lt;&gt;""),$A190&lt;&gt;"")</formula>
    </cfRule>
  </conditionalFormatting>
  <conditionalFormatting sqref="G188">
    <cfRule type="expression" dxfId="232" priority="381" stopIfTrue="1">
      <formula>AND($A188&lt;&gt;"COMPOSICAO",$A188&lt;&gt;"INSUMO",$A188&lt;&gt;"")</formula>
    </cfRule>
    <cfRule type="expression" dxfId="231" priority="382" stopIfTrue="1">
      <formula>AND(OR($A188="COMPOSICAO",$A188="INSUMO",$A188&lt;&gt;""),$A188&lt;&gt;"")</formula>
    </cfRule>
  </conditionalFormatting>
  <conditionalFormatting sqref="G189">
    <cfRule type="expression" dxfId="230" priority="379" stopIfTrue="1">
      <formula>AND($A189&lt;&gt;"COMPOSICAO",$A189&lt;&gt;"INSUMO",$A189&lt;&gt;"")</formula>
    </cfRule>
    <cfRule type="expression" dxfId="229" priority="380" stopIfTrue="1">
      <formula>AND(OR($A189="COMPOSICAO",$A189="INSUMO",$A189&lt;&gt;""),$A189&lt;&gt;"")</formula>
    </cfRule>
  </conditionalFormatting>
  <conditionalFormatting sqref="G191">
    <cfRule type="expression" dxfId="228" priority="377" stopIfTrue="1">
      <formula>AND($A191&lt;&gt;"COMPOSICAO",$A191&lt;&gt;"INSUMO",$A191&lt;&gt;"")</formula>
    </cfRule>
    <cfRule type="expression" dxfId="227" priority="378" stopIfTrue="1">
      <formula>AND(OR($A191="COMPOSICAO",$A191="INSUMO",$A191&lt;&gt;""),$A191&lt;&gt;"")</formula>
    </cfRule>
  </conditionalFormatting>
  <conditionalFormatting sqref="G201 G203:G205">
    <cfRule type="expression" dxfId="226" priority="371" stopIfTrue="1">
      <formula>AND($A201&lt;&gt;"COMPOSICAO",$A201&lt;&gt;"INSUMO",$A201&lt;&gt;"")</formula>
    </cfRule>
    <cfRule type="expression" dxfId="225" priority="372" stopIfTrue="1">
      <formula>AND(OR($A201="COMPOSICAO",$A201="INSUMO",$A201&lt;&gt;""),$A201&lt;&gt;"")</formula>
    </cfRule>
  </conditionalFormatting>
  <conditionalFormatting sqref="G199">
    <cfRule type="expression" dxfId="224" priority="369" stopIfTrue="1">
      <formula>AND($A199&lt;&gt;"COMPOSICAO",$A199&lt;&gt;"INSUMO",$A199&lt;&gt;"")</formula>
    </cfRule>
    <cfRule type="expression" dxfId="223" priority="370" stopIfTrue="1">
      <formula>AND(OR($A199="COMPOSICAO",$A199="INSUMO",$A199&lt;&gt;""),$A199&lt;&gt;"")</formula>
    </cfRule>
  </conditionalFormatting>
  <conditionalFormatting sqref="G200">
    <cfRule type="expression" dxfId="222" priority="367" stopIfTrue="1">
      <formula>AND($A200&lt;&gt;"COMPOSICAO",$A200&lt;&gt;"INSUMO",$A200&lt;&gt;"")</formula>
    </cfRule>
    <cfRule type="expression" dxfId="221" priority="368" stopIfTrue="1">
      <formula>AND(OR($A200="COMPOSICAO",$A200="INSUMO",$A200&lt;&gt;""),$A200&lt;&gt;"")</formula>
    </cfRule>
  </conditionalFormatting>
  <conditionalFormatting sqref="G202">
    <cfRule type="expression" dxfId="220" priority="365" stopIfTrue="1">
      <formula>AND($A202&lt;&gt;"COMPOSICAO",$A202&lt;&gt;"INSUMO",$A202&lt;&gt;"")</formula>
    </cfRule>
    <cfRule type="expression" dxfId="219" priority="366" stopIfTrue="1">
      <formula>AND(OR($A202="COMPOSICAO",$A202="INSUMO",$A202&lt;&gt;""),$A202&lt;&gt;"")</formula>
    </cfRule>
  </conditionalFormatting>
  <conditionalFormatting sqref="G213:G214">
    <cfRule type="expression" dxfId="218" priority="363" stopIfTrue="1">
      <formula>AND($A213&lt;&gt;"COMPOSICAO",$A213&lt;&gt;"INSUMO",$A213&lt;&gt;"")</formula>
    </cfRule>
    <cfRule type="expression" dxfId="217" priority="364" stopIfTrue="1">
      <formula>AND(OR($A213="COMPOSICAO",$A213="INSUMO",$A213&lt;&gt;""),$A213&lt;&gt;"")</formula>
    </cfRule>
  </conditionalFormatting>
  <conditionalFormatting sqref="G211">
    <cfRule type="expression" dxfId="216" priority="361" stopIfTrue="1">
      <formula>AND($A211&lt;&gt;"COMPOSICAO",$A211&lt;&gt;"INSUMO",$A211&lt;&gt;"")</formula>
    </cfRule>
    <cfRule type="expression" dxfId="215" priority="362" stopIfTrue="1">
      <formula>AND(OR($A211="COMPOSICAO",$A211="INSUMO",$A211&lt;&gt;""),$A211&lt;&gt;"")</formula>
    </cfRule>
  </conditionalFormatting>
  <conditionalFormatting sqref="G212">
    <cfRule type="expression" dxfId="214" priority="359" stopIfTrue="1">
      <formula>AND($A212&lt;&gt;"COMPOSICAO",$A212&lt;&gt;"INSUMO",$A212&lt;&gt;"")</formula>
    </cfRule>
    <cfRule type="expression" dxfId="213" priority="360" stopIfTrue="1">
      <formula>AND(OR($A212="COMPOSICAO",$A212="INSUMO",$A212&lt;&gt;""),$A212&lt;&gt;"")</formula>
    </cfRule>
  </conditionalFormatting>
  <conditionalFormatting sqref="G30:H30">
    <cfRule type="expression" dxfId="212" priority="237" stopIfTrue="1">
      <formula>AND($B30&lt;&gt;"COMPOSICAO",$B30&lt;&gt;"INSUMO",$B30&lt;&gt;"")</formula>
    </cfRule>
    <cfRule type="expression" dxfId="211" priority="238" stopIfTrue="1">
      <formula>AND(OR($B30="COMPOSICAO",$B30="INSUMO",$B30&lt;&gt;""),$B30&lt;&gt;"")</formula>
    </cfRule>
  </conditionalFormatting>
  <conditionalFormatting sqref="A25:H25">
    <cfRule type="expression" dxfId="210" priority="235" stopIfTrue="1">
      <formula>AND($A25&lt;&gt;"COMPOSICAO",$A25&lt;&gt;"INSUMO",$A25&lt;&gt;"")</formula>
    </cfRule>
    <cfRule type="expression" dxfId="209" priority="236" stopIfTrue="1">
      <formula>AND(OR($A25="COMPOSICAO",$A25="INSUMO",$A25&lt;&gt;""),$A25&lt;&gt;"")</formula>
    </cfRule>
  </conditionalFormatting>
  <conditionalFormatting sqref="G115 A34:H39 A40:B41 H40:H41">
    <cfRule type="expression" dxfId="208" priority="177" stopIfTrue="1">
      <formula>AND($A34&lt;&gt;"COMPOSICAO",$A34&lt;&gt;"INSUMO",$A34&lt;&gt;"")</formula>
    </cfRule>
    <cfRule type="expression" dxfId="207" priority="178" stopIfTrue="1">
      <formula>AND(OR($A34="COMPOSICAO",$A34="INSUMO",$A34&lt;&gt;""),$A34&lt;&gt;"")</formula>
    </cfRule>
  </conditionalFormatting>
  <conditionalFormatting sqref="A64:H65 A76:H77 A66 H66 A69:H73 A86:H95 A78:F78 H78">
    <cfRule type="expression" dxfId="206" priority="233" stopIfTrue="1">
      <formula>AND($A64&lt;&gt;"COMPOSICAO",$A64&lt;&gt;"INSUMO",$A64&lt;&gt;"")</formula>
    </cfRule>
    <cfRule type="expression" dxfId="205" priority="234" stopIfTrue="1">
      <formula>AND(OR($A64="COMPOSICAO",$A64="INSUMO",$A64&lt;&gt;""),$A64&lt;&gt;"")</formula>
    </cfRule>
  </conditionalFormatting>
  <conditionalFormatting sqref="G67:H67 G74:H74 G79:H79">
    <cfRule type="expression" dxfId="204" priority="231" stopIfTrue="1">
      <formula>AND($B67&lt;&gt;"COMPOSICAO",$B67&lt;&gt;"INSUMO",$B67&lt;&gt;"")</formula>
    </cfRule>
    <cfRule type="expression" dxfId="203" priority="232" stopIfTrue="1">
      <formula>AND(OR($B67="COMPOSICAO",$B67="INSUMO",$B67&lt;&gt;""),$B67&lt;&gt;"")</formula>
    </cfRule>
  </conditionalFormatting>
  <conditionalFormatting sqref="A61 B60:H61">
    <cfRule type="expression" dxfId="202" priority="229" stopIfTrue="1">
      <formula>AND($A60&lt;&gt;"COMPOSICAO",$A60&lt;&gt;"INSUMO",$A60&lt;&gt;"")</formula>
    </cfRule>
    <cfRule type="expression" dxfId="201" priority="230" stopIfTrue="1">
      <formula>AND(OR($A60="COMPOSICAO",$A60="INSUMO",$A60&lt;&gt;""),$A60&lt;&gt;"")</formula>
    </cfRule>
  </conditionalFormatting>
  <conditionalFormatting sqref="A59:H59">
    <cfRule type="expression" dxfId="200" priority="225" stopIfTrue="1">
      <formula>AND($A59&lt;&gt;"COMPOSICAO",$A59&lt;&gt;"INSUMO",$A59&lt;&gt;"")</formula>
    </cfRule>
    <cfRule type="expression" dxfId="199" priority="226" stopIfTrue="1">
      <formula>AND(OR($A59="COMPOSICAO",$A59="INSUMO",$A59&lt;&gt;""),$A59&lt;&gt;"")</formula>
    </cfRule>
  </conditionalFormatting>
  <conditionalFormatting sqref="G62:H62">
    <cfRule type="expression" dxfId="198" priority="227" stopIfTrue="1">
      <formula>AND($B62&lt;&gt;"COMPOSICAO",$B62&lt;&gt;"INSUMO",$B62&lt;&gt;"")</formula>
    </cfRule>
    <cfRule type="expression" dxfId="197" priority="228" stopIfTrue="1">
      <formula>AND(OR($B62="COMPOSICAO",$B62="INSUMO",$B62&lt;&gt;""),$B62&lt;&gt;"")</formula>
    </cfRule>
  </conditionalFormatting>
  <conditionalFormatting sqref="A60">
    <cfRule type="expression" dxfId="196" priority="223" stopIfTrue="1">
      <formula>AND($A60&lt;&gt;"COMPOSICAO",$A60&lt;&gt;"INSUMO",$A60&lt;&gt;"")</formula>
    </cfRule>
    <cfRule type="expression" dxfId="195" priority="224" stopIfTrue="1">
      <formula>AND(OR($A60="COMPOSICAO",$A60="INSUMO",$A60&lt;&gt;""),$A60&lt;&gt;"")</formula>
    </cfRule>
  </conditionalFormatting>
  <conditionalFormatting sqref="A81:H82 A83:F83 H83">
    <cfRule type="expression" dxfId="194" priority="221" stopIfTrue="1">
      <formula>AND($A81&lt;&gt;"COMPOSICAO",$A81&lt;&gt;"INSUMO",$A81&lt;&gt;"")</formula>
    </cfRule>
    <cfRule type="expression" dxfId="193" priority="222" stopIfTrue="1">
      <formula>AND(OR($A81="COMPOSICAO",$A81="INSUMO",$A81&lt;&gt;""),$A81&lt;&gt;"")</formula>
    </cfRule>
  </conditionalFormatting>
  <conditionalFormatting sqref="G84:H84">
    <cfRule type="expression" dxfId="192" priority="219" stopIfTrue="1">
      <formula>AND($B84&lt;&gt;"COMPOSICAO",$B84&lt;&gt;"INSUMO",$B84&lt;&gt;"")</formula>
    </cfRule>
    <cfRule type="expression" dxfId="191" priority="220" stopIfTrue="1">
      <formula>AND(OR($B84="COMPOSICAO",$B84="INSUMO",$B84&lt;&gt;""),$B84&lt;&gt;"")</formula>
    </cfRule>
  </conditionalFormatting>
  <conditionalFormatting sqref="G96:H96">
    <cfRule type="expression" dxfId="190" priority="217" stopIfTrue="1">
      <formula>AND($B96&lt;&gt;"COMPOSICAO",$B96&lt;&gt;"INSUMO",$B96&lt;&gt;"")</formula>
    </cfRule>
    <cfRule type="expression" dxfId="189" priority="218" stopIfTrue="1">
      <formula>AND(OR($B96="COMPOSICAO",$B96="INSUMO",$B96&lt;&gt;""),$B96&lt;&gt;"")</formula>
    </cfRule>
  </conditionalFormatting>
  <conditionalFormatting sqref="A98:H98 A99:A100">
    <cfRule type="expression" dxfId="188" priority="215" stopIfTrue="1">
      <formula>AND($A98&lt;&gt;"COMPOSICAO",$A98&lt;&gt;"INSUMO",$A98&lt;&gt;"")</formula>
    </cfRule>
    <cfRule type="expression" dxfId="187" priority="216" stopIfTrue="1">
      <formula>AND(OR($A98="COMPOSICAO",$A98="INSUMO",$A98&lt;&gt;""),$A98&lt;&gt;"")</formula>
    </cfRule>
  </conditionalFormatting>
  <conditionalFormatting sqref="G101:H101">
    <cfRule type="expression" dxfId="186" priority="213" stopIfTrue="1">
      <formula>AND($B101&lt;&gt;"COMPOSICAO",$B101&lt;&gt;"INSUMO",$B101&lt;&gt;"")</formula>
    </cfRule>
    <cfRule type="expression" dxfId="185" priority="214" stopIfTrue="1">
      <formula>AND(OR($B101="COMPOSICAO",$B101="INSUMO",$B101&lt;&gt;""),$B101&lt;&gt;"")</formula>
    </cfRule>
  </conditionalFormatting>
  <conditionalFormatting sqref="A103:H103 A104:A105">
    <cfRule type="expression" dxfId="184" priority="211" stopIfTrue="1">
      <formula>AND($A103&lt;&gt;"COMPOSICAO",$A103&lt;&gt;"INSUMO",$A103&lt;&gt;"")</formula>
    </cfRule>
    <cfRule type="expression" dxfId="183" priority="212" stopIfTrue="1">
      <formula>AND(OR($A103="COMPOSICAO",$A103="INSUMO",$A103&lt;&gt;""),$A103&lt;&gt;"")</formula>
    </cfRule>
  </conditionalFormatting>
  <conditionalFormatting sqref="G106:H106">
    <cfRule type="expression" dxfId="182" priority="209" stopIfTrue="1">
      <formula>AND($B106&lt;&gt;"COMPOSICAO",$B106&lt;&gt;"INSUMO",$B106&lt;&gt;"")</formula>
    </cfRule>
    <cfRule type="expression" dxfId="181" priority="210" stopIfTrue="1">
      <formula>AND(OR($B106="COMPOSICAO",$B106="INSUMO",$B106&lt;&gt;""),$B106&lt;&gt;"")</formula>
    </cfRule>
  </conditionalFormatting>
  <conditionalFormatting sqref="A113:H114 A115:F115 H115">
    <cfRule type="expression" dxfId="180" priority="207" stopIfTrue="1">
      <formula>AND($A113&lt;&gt;"COMPOSICAO",$A113&lt;&gt;"INSUMO",$A113&lt;&gt;"")</formula>
    </cfRule>
    <cfRule type="expression" dxfId="179" priority="208" stopIfTrue="1">
      <formula>AND(OR($A113="COMPOSICAO",$A113="INSUMO",$A113&lt;&gt;""),$A113&lt;&gt;"")</formula>
    </cfRule>
  </conditionalFormatting>
  <conditionalFormatting sqref="G116:H116">
    <cfRule type="expression" dxfId="178" priority="205" stopIfTrue="1">
      <formula>AND($B116&lt;&gt;"COMPOSICAO",$B116&lt;&gt;"INSUMO",$B116&lt;&gt;"")</formula>
    </cfRule>
    <cfRule type="expression" dxfId="177" priority="206" stopIfTrue="1">
      <formula>AND(OR($B116="COMPOSICAO",$B116="INSUMO",$B116&lt;&gt;""),$B116&lt;&gt;"")</formula>
    </cfRule>
  </conditionalFormatting>
  <conditionalFormatting sqref="B66">
    <cfRule type="expression" dxfId="176" priority="203" stopIfTrue="1">
      <formula>AND($A66&lt;&gt;"COMPOSICAO",$A66&lt;&gt;"INSUMO",$A66&lt;&gt;"")</formula>
    </cfRule>
    <cfRule type="expression" dxfId="175" priority="204" stopIfTrue="1">
      <formula>AND(OR($A66="COMPOSICAO",$A66="INSUMO",$A66&lt;&gt;""),$A66&lt;&gt;"")</formula>
    </cfRule>
  </conditionalFormatting>
  <conditionalFormatting sqref="B104:D104 H105 F104:H104">
    <cfRule type="expression" dxfId="174" priority="201" stopIfTrue="1">
      <formula>AND($A104&lt;&gt;"COMPOSICAO",$A104&lt;&gt;"INSUMO",$A104&lt;&gt;"")</formula>
    </cfRule>
    <cfRule type="expression" dxfId="173" priority="202" stopIfTrue="1">
      <formula>AND(OR($A104="COMPOSICAO",$A104="INSUMO",$A104&lt;&gt;""),$A104&lt;&gt;"")</formula>
    </cfRule>
  </conditionalFormatting>
  <conditionalFormatting sqref="B105 E105:F105">
    <cfRule type="expression" dxfId="172" priority="199" stopIfTrue="1">
      <formula>AND($A105&lt;&gt;"COMPOSICAO",$A105&lt;&gt;"INSUMO",$A105&lt;&gt;"")</formula>
    </cfRule>
    <cfRule type="expression" dxfId="171" priority="200" stopIfTrue="1">
      <formula>AND(OR($A105="COMPOSICAO",$A105="INSUMO",$A105&lt;&gt;""),$A105&lt;&gt;"")</formula>
    </cfRule>
  </conditionalFormatting>
  <conditionalFormatting sqref="B99:H99 H100">
    <cfRule type="expression" dxfId="170" priority="197" stopIfTrue="1">
      <formula>AND($A99&lt;&gt;"COMPOSICAO",$A99&lt;&gt;"INSUMO",$A99&lt;&gt;"")</formula>
    </cfRule>
    <cfRule type="expression" dxfId="169" priority="198" stopIfTrue="1">
      <formula>AND(OR($A99="COMPOSICAO",$A99="INSUMO",$A99&lt;&gt;""),$A99&lt;&gt;"")</formula>
    </cfRule>
  </conditionalFormatting>
  <conditionalFormatting sqref="B100 E100:G100">
    <cfRule type="expression" dxfId="168" priority="195" stopIfTrue="1">
      <formula>AND($A100&lt;&gt;"COMPOSICAO",$A100&lt;&gt;"INSUMO",$A100&lt;&gt;"")</formula>
    </cfRule>
    <cfRule type="expression" dxfId="167" priority="196" stopIfTrue="1">
      <formula>AND(OR($A100="COMPOSICAO",$A100="INSUMO",$A100&lt;&gt;""),$A100&lt;&gt;"")</formula>
    </cfRule>
  </conditionalFormatting>
  <conditionalFormatting sqref="B110 E110:F110">
    <cfRule type="expression" dxfId="166" priority="187" stopIfTrue="1">
      <formula>AND($A110&lt;&gt;"COMPOSICAO",$A110&lt;&gt;"INSUMO",$A110&lt;&gt;"")</formula>
    </cfRule>
    <cfRule type="expression" dxfId="165" priority="188" stopIfTrue="1">
      <formula>AND(OR($A110="COMPOSICAO",$A110="INSUMO",$A110&lt;&gt;""),$A110&lt;&gt;"")</formula>
    </cfRule>
  </conditionalFormatting>
  <conditionalFormatting sqref="A108:H108 A109:A110">
    <cfRule type="expression" dxfId="164" priority="193" stopIfTrue="1">
      <formula>AND($A108&lt;&gt;"COMPOSICAO",$A108&lt;&gt;"INSUMO",$A108&lt;&gt;"")</formula>
    </cfRule>
    <cfRule type="expression" dxfId="163" priority="194" stopIfTrue="1">
      <formula>AND(OR($A108="COMPOSICAO",$A108="INSUMO",$A108&lt;&gt;""),$A108&lt;&gt;"")</formula>
    </cfRule>
  </conditionalFormatting>
  <conditionalFormatting sqref="G111:H111">
    <cfRule type="expression" dxfId="162" priority="191" stopIfTrue="1">
      <formula>AND($B111&lt;&gt;"COMPOSICAO",$B111&lt;&gt;"INSUMO",$B111&lt;&gt;"")</formula>
    </cfRule>
    <cfRule type="expression" dxfId="161" priority="192" stopIfTrue="1">
      <formula>AND(OR($B111="COMPOSICAO",$B111="INSUMO",$B111&lt;&gt;""),$B111&lt;&gt;"")</formula>
    </cfRule>
  </conditionalFormatting>
  <conditionalFormatting sqref="B109:D109 H110 F109:H109">
    <cfRule type="expression" dxfId="160" priority="189" stopIfTrue="1">
      <formula>AND($A109&lt;&gt;"COMPOSICAO",$A109&lt;&gt;"INSUMO",$A109&lt;&gt;"")</formula>
    </cfRule>
    <cfRule type="expression" dxfId="159" priority="190" stopIfTrue="1">
      <formula>AND(OR($A109="COMPOSICAO",$A109="INSUMO",$A109&lt;&gt;""),$A109&lt;&gt;"")</formula>
    </cfRule>
  </conditionalFormatting>
  <conditionalFormatting sqref="C66:F66">
    <cfRule type="expression" dxfId="158" priority="185" stopIfTrue="1">
      <formula>AND($A66&lt;&gt;"COMPOSICAO",$A66&lt;&gt;"INSUMO",$A66&lt;&gt;"")</formula>
    </cfRule>
    <cfRule type="expression" dxfId="157" priority="186" stopIfTrue="1">
      <formula>AND(OR($A66="COMPOSICAO",$A66="INSUMO",$A66&lt;&gt;""),$A66&lt;&gt;"")</formula>
    </cfRule>
  </conditionalFormatting>
  <conditionalFormatting sqref="C100:D100">
    <cfRule type="expression" dxfId="156" priority="183" stopIfTrue="1">
      <formula>AND($A100&lt;&gt;"COMPOSICAO",$A100&lt;&gt;"INSUMO",$A100&lt;&gt;"")</formula>
    </cfRule>
    <cfRule type="expression" dxfId="155" priority="184" stopIfTrue="1">
      <formula>AND(OR($A100="COMPOSICAO",$A100="INSUMO",$A100&lt;&gt;""),$A100&lt;&gt;"")</formula>
    </cfRule>
  </conditionalFormatting>
  <conditionalFormatting sqref="C105:D105">
    <cfRule type="expression" dxfId="154" priority="181" stopIfTrue="1">
      <formula>AND($A105&lt;&gt;"COMPOSICAO",$A105&lt;&gt;"INSUMO",$A105&lt;&gt;"")</formula>
    </cfRule>
    <cfRule type="expression" dxfId="153" priority="182" stopIfTrue="1">
      <formula>AND(OR($A105="COMPOSICAO",$A105="INSUMO",$A105&lt;&gt;""),$A105&lt;&gt;"")</formula>
    </cfRule>
  </conditionalFormatting>
  <conditionalFormatting sqref="C110:D110">
    <cfRule type="expression" dxfId="152" priority="179" stopIfTrue="1">
      <formula>AND($A110&lt;&gt;"COMPOSICAO",$A110&lt;&gt;"INSUMO",$A110&lt;&gt;"")</formula>
    </cfRule>
    <cfRule type="expression" dxfId="151" priority="180" stopIfTrue="1">
      <formula>AND(OR($A110="COMPOSICAO",$A110="INSUMO",$A110&lt;&gt;""),$A110&lt;&gt;"")</formula>
    </cfRule>
  </conditionalFormatting>
  <conditionalFormatting sqref="G42:H42">
    <cfRule type="expression" dxfId="150" priority="173" stopIfTrue="1">
      <formula>AND($B42&lt;&gt;"COMPOSICAO",$B42&lt;&gt;"INSUMO",$B42&lt;&gt;"")</formula>
    </cfRule>
    <cfRule type="expression" dxfId="149" priority="174" stopIfTrue="1">
      <formula>AND(OR($B42="COMPOSICAO",$B42="INSUMO",$B42&lt;&gt;""),$B42&lt;&gt;"")</formula>
    </cfRule>
  </conditionalFormatting>
  <conditionalFormatting sqref="G66">
    <cfRule type="expression" dxfId="148" priority="171" stopIfTrue="1">
      <formula>AND($A66&lt;&gt;"COMPOSICAO",$A66&lt;&gt;"INSUMO",$A66&lt;&gt;"")</formula>
    </cfRule>
    <cfRule type="expression" dxfId="147" priority="172" stopIfTrue="1">
      <formula>AND(OR($A66="COMPOSICAO",$A66="INSUMO",$A66&lt;&gt;""),$A66&lt;&gt;"")</formula>
    </cfRule>
  </conditionalFormatting>
  <conditionalFormatting sqref="G78">
    <cfRule type="expression" dxfId="146" priority="169" stopIfTrue="1">
      <formula>AND($A78&lt;&gt;"COMPOSICAO",$A78&lt;&gt;"INSUMO",$A78&lt;&gt;"")</formula>
    </cfRule>
    <cfRule type="expression" dxfId="145" priority="170" stopIfTrue="1">
      <formula>AND(OR($A78="COMPOSICAO",$A78="INSUMO",$A78&lt;&gt;""),$A78&lt;&gt;"")</formula>
    </cfRule>
  </conditionalFormatting>
  <conditionalFormatting sqref="G83">
    <cfRule type="expression" dxfId="144" priority="167" stopIfTrue="1">
      <formula>AND($A83&lt;&gt;"COMPOSICAO",$A83&lt;&gt;"INSUMO",$A83&lt;&gt;"")</formula>
    </cfRule>
    <cfRule type="expression" dxfId="143" priority="168" stopIfTrue="1">
      <formula>AND(OR($A83="COMPOSICAO",$A83="INSUMO",$A83&lt;&gt;""),$A83&lt;&gt;"")</formula>
    </cfRule>
  </conditionalFormatting>
  <conditionalFormatting sqref="G105">
    <cfRule type="expression" dxfId="142" priority="165" stopIfTrue="1">
      <formula>AND($A105&lt;&gt;"COMPOSICAO",$A105&lt;&gt;"INSUMO",$A105&lt;&gt;"")</formula>
    </cfRule>
    <cfRule type="expression" dxfId="141" priority="166" stopIfTrue="1">
      <formula>AND(OR($A105="COMPOSICAO",$A105="INSUMO",$A105&lt;&gt;""),$A105&lt;&gt;"")</formula>
    </cfRule>
  </conditionalFormatting>
  <conditionalFormatting sqref="G110">
    <cfRule type="expression" dxfId="140" priority="163" stopIfTrue="1">
      <formula>AND($A110&lt;&gt;"COMPOSICAO",$A110&lt;&gt;"INSUMO",$A110&lt;&gt;"")</formula>
    </cfRule>
    <cfRule type="expression" dxfId="139" priority="164" stopIfTrue="1">
      <formula>AND(OR($A110="COMPOSICAO",$A110="INSUMO",$A110&lt;&gt;""),$A110&lt;&gt;"")</formula>
    </cfRule>
  </conditionalFormatting>
  <conditionalFormatting sqref="C40:G41">
    <cfRule type="expression" dxfId="138" priority="161" stopIfTrue="1">
      <formula>AND($A40&lt;&gt;"COMPOSICAO",$A40&lt;&gt;"INSUMO",$A40&lt;&gt;"")</formula>
    </cfRule>
    <cfRule type="expression" dxfId="137" priority="162" stopIfTrue="1">
      <formula>AND(OR($A40="COMPOSICAO",$A40="INSUMO",$A40&lt;&gt;""),$A40&lt;&gt;"")</formula>
    </cfRule>
  </conditionalFormatting>
  <conditionalFormatting sqref="A128:A131">
    <cfRule type="expression" dxfId="136" priority="155" stopIfTrue="1">
      <formula>AND($A128&lt;&gt;"COMPOSICAO",$A128&lt;&gt;"INSUMO",$A128&lt;&gt;"")</formula>
    </cfRule>
    <cfRule type="expression" dxfId="135" priority="156" stopIfTrue="1">
      <formula>AND(OR($A128="COMPOSICAO",$A128="INSUMO",$A128&lt;&gt;""),$A128&lt;&gt;"")</formula>
    </cfRule>
  </conditionalFormatting>
  <conditionalFormatting sqref="A126:H126 H127:H131 B127:F131">
    <cfRule type="expression" dxfId="134" priority="157" stopIfTrue="1">
      <formula>AND($A126&lt;&gt;"COMPOSICAO",$A126&lt;&gt;"INSUMO",$A126&lt;&gt;"")</formula>
    </cfRule>
    <cfRule type="expression" dxfId="133" priority="158" stopIfTrue="1">
      <formula>AND(OR($A126="COMPOSICAO",$A126="INSUMO",$A126&lt;&gt;""),$A126&lt;&gt;"")</formula>
    </cfRule>
  </conditionalFormatting>
  <conditionalFormatting sqref="G132:H132">
    <cfRule type="expression" dxfId="132" priority="159" stopIfTrue="1">
      <formula>AND($B132&lt;&gt;"COMPOSICAO",$B132&lt;&gt;"INSUMO",$B132&lt;&gt;"")</formula>
    </cfRule>
    <cfRule type="expression" dxfId="131" priority="160" stopIfTrue="1">
      <formula>AND(OR($B132="COMPOSICAO",$B132="INSUMO",$B132&lt;&gt;""),$B132&lt;&gt;"")</formula>
    </cfRule>
  </conditionalFormatting>
  <conditionalFormatting sqref="G127:G131">
    <cfRule type="expression" dxfId="130" priority="153" stopIfTrue="1">
      <formula>AND($A127&lt;&gt;"COMPOSICAO",$A127&lt;&gt;"INSUMO",$A127&lt;&gt;"")</formula>
    </cfRule>
    <cfRule type="expression" dxfId="129" priority="154" stopIfTrue="1">
      <formula>AND(OR($A127="COMPOSICAO",$A127="INSUMO",$A127&lt;&gt;""),$A127&lt;&gt;"")</formula>
    </cfRule>
  </conditionalFormatting>
  <conditionalFormatting sqref="A127">
    <cfRule type="expression" dxfId="128" priority="151" stopIfTrue="1">
      <formula>AND($B127&lt;&gt;"COMPOSICAO",$B127&lt;&gt;"INSUMO",$B127&lt;&gt;"")</formula>
    </cfRule>
    <cfRule type="expression" dxfId="127" priority="152" stopIfTrue="1">
      <formula>AND(OR($B127="COMPOSICAO",$B127="INSUMO",$B127&lt;&gt;""),$B127&lt;&gt;"")</formula>
    </cfRule>
  </conditionalFormatting>
  <conditionalFormatting sqref="G136">
    <cfRule type="expression" dxfId="126" priority="133" stopIfTrue="1">
      <formula>AND($A136&lt;&gt;"COMPOSICAO",$A136&lt;&gt;"INSUMO",$A136&lt;&gt;"")</formula>
    </cfRule>
    <cfRule type="expression" dxfId="125" priority="134" stopIfTrue="1">
      <formula>AND(OR($A136="COMPOSICAO",$A136="INSUMO",$A136&lt;&gt;""),$A136&lt;&gt;"")</formula>
    </cfRule>
  </conditionalFormatting>
  <conditionalFormatting sqref="C134">
    <cfRule type="expression" dxfId="124" priority="129" stopIfTrue="1">
      <formula>AND($A134&lt;&gt;"COMPOSICAO",$A134&lt;&gt;"INSUMO",$A134&lt;&gt;"")</formula>
    </cfRule>
    <cfRule type="expression" dxfId="123" priority="130" stopIfTrue="1">
      <formula>AND(OR($A134="COMPOSICAO",$A134="INSUMO",$A134&lt;&gt;""),$A134&lt;&gt;"")</formula>
    </cfRule>
  </conditionalFormatting>
  <conditionalFormatting sqref="G139:H140 A135:A136 G170:H170">
    <cfRule type="expression" dxfId="122" priority="147" stopIfTrue="1">
      <formula>AND($B135&lt;&gt;"COMPOSICAO",$B135&lt;&gt;"INSUMO",$B135&lt;&gt;"")</formula>
    </cfRule>
    <cfRule type="expression" dxfId="121" priority="148" stopIfTrue="1">
      <formula>AND(OR($B135="COMPOSICAO",$B135="INSUMO",$B135&lt;&gt;""),$B135&lt;&gt;"")</formula>
    </cfRule>
  </conditionalFormatting>
  <conditionalFormatting sqref="A134:B134 B135:F136 D134:H134 B137:D137 F137">
    <cfRule type="expression" dxfId="120" priority="145" stopIfTrue="1">
      <formula>AND($A134&lt;&gt;"COMPOSICAO",$A134&lt;&gt;"INSUMO",$A134&lt;&gt;"")</formula>
    </cfRule>
    <cfRule type="expression" dxfId="119" priority="146" stopIfTrue="1">
      <formula>AND(OR($A134="COMPOSICAO",$A134="INSUMO",$A134&lt;&gt;""),$A134&lt;&gt;"")</formula>
    </cfRule>
  </conditionalFormatting>
  <conditionalFormatting sqref="A137">
    <cfRule type="expression" dxfId="118" priority="143" stopIfTrue="1">
      <formula>AND($A137&lt;&gt;"COMPOSICAO",$A137&lt;&gt;"INSUMO",$A137&lt;&gt;"")</formula>
    </cfRule>
    <cfRule type="expression" dxfId="117" priority="144" stopIfTrue="1">
      <formula>AND(OR($A137="COMPOSICAO",$A137="INSUMO",$A137&lt;&gt;""),$A137&lt;&gt;"")</formula>
    </cfRule>
  </conditionalFormatting>
  <conditionalFormatting sqref="G137">
    <cfRule type="expression" dxfId="116" priority="139" stopIfTrue="1">
      <formula>AND($A137&lt;&gt;"COMPOSICAO",$A137&lt;&gt;"INSUMO",$A137&lt;&gt;"")</formula>
    </cfRule>
    <cfRule type="expression" dxfId="115" priority="140" stopIfTrue="1">
      <formula>AND(OR($A137="COMPOSICAO",$A137="INSUMO",$A137&lt;&gt;""),$A137&lt;&gt;"")</formula>
    </cfRule>
  </conditionalFormatting>
  <conditionalFormatting sqref="G138">
    <cfRule type="expression" dxfId="114" priority="137" stopIfTrue="1">
      <formula>AND($A138&lt;&gt;"COMPOSICAO",$A138&lt;&gt;"INSUMO",$A138&lt;&gt;"")</formula>
    </cfRule>
    <cfRule type="expression" dxfId="113" priority="138" stopIfTrue="1">
      <formula>AND(OR($A138="COMPOSICAO",$A138="INSUMO",$A138&lt;&gt;""),$A138&lt;&gt;"")</formula>
    </cfRule>
  </conditionalFormatting>
  <conditionalFormatting sqref="G135">
    <cfRule type="expression" dxfId="112" priority="135" stopIfTrue="1">
      <formula>AND($A135&lt;&gt;"COMPOSICAO",$A135&lt;&gt;"INSUMO",$A135&lt;&gt;"")</formula>
    </cfRule>
    <cfRule type="expression" dxfId="111" priority="136" stopIfTrue="1">
      <formula>AND(OR($A135="COMPOSICAO",$A135="INSUMO",$A135&lt;&gt;""),$A135&lt;&gt;"")</formula>
    </cfRule>
  </conditionalFormatting>
  <conditionalFormatting sqref="E138">
    <cfRule type="expression" dxfId="110" priority="125" stopIfTrue="1">
      <formula>AND($A138&lt;&gt;"COMPOSICAO",$A138&lt;&gt;"INSUMO",$A138&lt;&gt;"")</formula>
    </cfRule>
    <cfRule type="expression" dxfId="109" priority="126" stopIfTrue="1">
      <formula>AND(OR($A138="COMPOSICAO",$A138="INSUMO",$A138&lt;&gt;""),$A138&lt;&gt;"")</formula>
    </cfRule>
  </conditionalFormatting>
  <conditionalFormatting sqref="C138:D138">
    <cfRule type="expression" dxfId="108" priority="131" stopIfTrue="1">
      <formula>AND($A138&lt;&gt;"COMPOSICAO",$A138&lt;&gt;"INSUMO",$A138&lt;&gt;"")</formula>
    </cfRule>
    <cfRule type="expression" dxfId="107" priority="132" stopIfTrue="1">
      <formula>AND(OR($A138="COMPOSICAO",$A138="INSUMO",$A138&lt;&gt;""),$A138&lt;&gt;"")</formula>
    </cfRule>
  </conditionalFormatting>
  <conditionalFormatting sqref="F138">
    <cfRule type="expression" dxfId="106" priority="123" stopIfTrue="1">
      <formula>AND($A138&lt;&gt;"COMPOSICAO",$A138&lt;&gt;"INSUMO",$A138&lt;&gt;"")</formula>
    </cfRule>
    <cfRule type="expression" dxfId="105" priority="124" stopIfTrue="1">
      <formula>AND(OR($A138="COMPOSICAO",$A138="INSUMO",$A138&lt;&gt;""),$A138&lt;&gt;"")</formula>
    </cfRule>
  </conditionalFormatting>
  <conditionalFormatting sqref="E137">
    <cfRule type="expression" dxfId="104" priority="127" stopIfTrue="1">
      <formula>AND($A137&lt;&gt;"COMPOSICAO",$A137&lt;&gt;"INSUMO",$A137&lt;&gt;"")</formula>
    </cfRule>
    <cfRule type="expression" dxfId="103" priority="128" stopIfTrue="1">
      <formula>AND(OR($A137="COMPOSICAO",$A137="INSUMO",$A137&lt;&gt;""),$A137&lt;&gt;"")</formula>
    </cfRule>
  </conditionalFormatting>
  <conditionalFormatting sqref="B138">
    <cfRule type="expression" dxfId="102" priority="121" stopIfTrue="1">
      <formula>AND($A138&lt;&gt;"COMPOSICAO",$A138&lt;&gt;"INSUMO",$A138&lt;&gt;"")</formula>
    </cfRule>
    <cfRule type="expression" dxfId="101" priority="122" stopIfTrue="1">
      <formula>AND(OR($A138="COMPOSICAO",$A138="INSUMO",$A138&lt;&gt;""),$A138&lt;&gt;"")</formula>
    </cfRule>
  </conditionalFormatting>
  <conditionalFormatting sqref="A138">
    <cfRule type="expression" dxfId="100" priority="119" stopIfTrue="1">
      <formula>AND($A138&lt;&gt;"COMPOSICAO",$A138&lt;&gt;"INSUMO",$A138&lt;&gt;"")</formula>
    </cfRule>
    <cfRule type="expression" dxfId="99" priority="120" stopIfTrue="1">
      <formula>AND(OR($A138="COMPOSICAO",$A138="INSUMO",$A138&lt;&gt;""),$A138&lt;&gt;"")</formula>
    </cfRule>
  </conditionalFormatting>
  <conditionalFormatting sqref="G146:H146 A142:A143 A145">
    <cfRule type="expression" dxfId="98" priority="117" stopIfTrue="1">
      <formula>AND($B142&lt;&gt;"COMPOSICAO",$B142&lt;&gt;"INSUMO",$B142&lt;&gt;"")</formula>
    </cfRule>
    <cfRule type="expression" dxfId="97" priority="118" stopIfTrue="1">
      <formula>AND(OR($B142="COMPOSICAO",$B142="INSUMO",$B142&lt;&gt;""),$B142&lt;&gt;"")</formula>
    </cfRule>
  </conditionalFormatting>
  <conditionalFormatting sqref="A141:H141 B142:F144">
    <cfRule type="expression" dxfId="96" priority="115" stopIfTrue="1">
      <formula>AND($A141&lt;&gt;"COMPOSICAO",$A141&lt;&gt;"INSUMO",$A141&lt;&gt;"")</formula>
    </cfRule>
    <cfRule type="expression" dxfId="95" priority="116" stopIfTrue="1">
      <formula>AND(OR($A141="COMPOSICAO",$A141="INSUMO",$A141&lt;&gt;""),$A141&lt;&gt;"")</formula>
    </cfRule>
  </conditionalFormatting>
  <conditionalFormatting sqref="A144">
    <cfRule type="expression" dxfId="94" priority="113" stopIfTrue="1">
      <formula>AND($A144&lt;&gt;"COMPOSICAO",$A144&lt;&gt;"INSUMO",$A144&lt;&gt;"")</formula>
    </cfRule>
    <cfRule type="expression" dxfId="93" priority="114" stopIfTrue="1">
      <formula>AND(OR($A144="COMPOSICAO",$A144="INSUMO",$A144&lt;&gt;""),$A144&lt;&gt;"")</formula>
    </cfRule>
  </conditionalFormatting>
  <conditionalFormatting sqref="G144">
    <cfRule type="expression" dxfId="92" priority="107" stopIfTrue="1">
      <formula>AND($A144&lt;&gt;"COMPOSICAO",$A144&lt;&gt;"INSUMO",$A144&lt;&gt;"")</formula>
    </cfRule>
    <cfRule type="expression" dxfId="91" priority="108" stopIfTrue="1">
      <formula>AND(OR($A144="COMPOSICAO",$A144="INSUMO",$A144&lt;&gt;""),$A144&lt;&gt;"")</formula>
    </cfRule>
  </conditionalFormatting>
  <conditionalFormatting sqref="G145">
    <cfRule type="expression" dxfId="90" priority="105" stopIfTrue="1">
      <formula>AND($A145&lt;&gt;"COMPOSICAO",$A145&lt;&gt;"INSUMO",$A145&lt;&gt;"")</formula>
    </cfRule>
    <cfRule type="expression" dxfId="89" priority="106" stopIfTrue="1">
      <formula>AND(OR($A145="COMPOSICAO",$A145="INSUMO",$A145&lt;&gt;""),$A145&lt;&gt;"")</formula>
    </cfRule>
  </conditionalFormatting>
  <conditionalFormatting sqref="G142">
    <cfRule type="expression" dxfId="88" priority="103" stopIfTrue="1">
      <formula>AND($A142&lt;&gt;"COMPOSICAO",$A142&lt;&gt;"INSUMO",$A142&lt;&gt;"")</formula>
    </cfRule>
    <cfRule type="expression" dxfId="87" priority="104" stopIfTrue="1">
      <formula>AND(OR($A142="COMPOSICAO",$A142="INSUMO",$A142&lt;&gt;""),$A142&lt;&gt;"")</formula>
    </cfRule>
  </conditionalFormatting>
  <conditionalFormatting sqref="G143">
    <cfRule type="expression" dxfId="86" priority="101" stopIfTrue="1">
      <formula>AND($A143&lt;&gt;"COMPOSICAO",$A143&lt;&gt;"INSUMO",$A143&lt;&gt;"")</formula>
    </cfRule>
    <cfRule type="expression" dxfId="85" priority="102" stopIfTrue="1">
      <formula>AND(OR($A143="COMPOSICAO",$A143="INSUMO",$A143&lt;&gt;""),$A143&lt;&gt;"")</formula>
    </cfRule>
  </conditionalFormatting>
  <conditionalFormatting sqref="B145:D145">
    <cfRule type="expression" dxfId="84" priority="99" stopIfTrue="1">
      <formula>AND($A145&lt;&gt;"COMPOSICAO",$A145&lt;&gt;"INSUMO",$A145&lt;&gt;"")</formula>
    </cfRule>
    <cfRule type="expression" dxfId="83" priority="100" stopIfTrue="1">
      <formula>AND(OR($A145="COMPOSICAO",$A145="INSUMO",$A145&lt;&gt;""),$A145&lt;&gt;"")</formula>
    </cfRule>
  </conditionalFormatting>
  <conditionalFormatting sqref="F145">
    <cfRule type="expression" dxfId="82" priority="95" stopIfTrue="1">
      <formula>AND($A145&lt;&gt;"COMPOSICAO",$A145&lt;&gt;"INSUMO",$A145&lt;&gt;"")</formula>
    </cfRule>
    <cfRule type="expression" dxfId="81" priority="96" stopIfTrue="1">
      <formula>AND(OR($A145="COMPOSICAO",$A145="INSUMO",$A145&lt;&gt;""),$A145&lt;&gt;"")</formula>
    </cfRule>
  </conditionalFormatting>
  <conditionalFormatting sqref="E145">
    <cfRule type="expression" dxfId="80" priority="97" stopIfTrue="1">
      <formula>AND($A145&lt;&gt;"COMPOSICAO",$A145&lt;&gt;"INSUMO",$A145&lt;&gt;"")</formula>
    </cfRule>
    <cfRule type="expression" dxfId="79" priority="98" stopIfTrue="1">
      <formula>AND(OR($A145="COMPOSICAO",$A145="INSUMO",$A145&lt;&gt;""),$A145&lt;&gt;"")</formula>
    </cfRule>
  </conditionalFormatting>
  <conditionalFormatting sqref="B150:D150 H149:H150 B149:F149">
    <cfRule type="expression" dxfId="78" priority="93" stopIfTrue="1">
      <formula>AND($A149&lt;&gt;"COMPOSICAO",$A149&lt;&gt;"INSUMO",$A149&lt;&gt;"")</formula>
    </cfRule>
    <cfRule type="expression" dxfId="77" priority="94" stopIfTrue="1">
      <formula>AND(OR($A149="COMPOSICAO",$A149="INSUMO",$A149&lt;&gt;""),$A149&lt;&gt;"")</formula>
    </cfRule>
  </conditionalFormatting>
  <conditionalFormatting sqref="G149">
    <cfRule type="expression" dxfId="76" priority="81" stopIfTrue="1">
      <formula>AND($A149&lt;&gt;"COMPOSICAO",$A149&lt;&gt;"INSUMO",$A149&lt;&gt;"")</formula>
    </cfRule>
    <cfRule type="expression" dxfId="75" priority="82" stopIfTrue="1">
      <formula>AND(OR($A149="COMPOSICAO",$A149="INSUMO",$A149&lt;&gt;""),$A149&lt;&gt;"")</formula>
    </cfRule>
  </conditionalFormatting>
  <conditionalFormatting sqref="C148">
    <cfRule type="expression" dxfId="74" priority="79" stopIfTrue="1">
      <formula>AND($A148&lt;&gt;"COMPOSICAO",$A148&lt;&gt;"INSUMO",$A148&lt;&gt;"")</formula>
    </cfRule>
    <cfRule type="expression" dxfId="73" priority="80" stopIfTrue="1">
      <formula>AND(OR($A148="COMPOSICAO",$A148="INSUMO",$A148&lt;&gt;""),$A148&lt;&gt;"")</formula>
    </cfRule>
  </conditionalFormatting>
  <conditionalFormatting sqref="G151:H151">
    <cfRule type="expression" dxfId="72" priority="91" stopIfTrue="1">
      <formula>AND($B151&lt;&gt;"COMPOSICAO",$B151&lt;&gt;"INSUMO",$B151&lt;&gt;"")</formula>
    </cfRule>
    <cfRule type="expression" dxfId="71" priority="92" stopIfTrue="1">
      <formula>AND(OR($B151="COMPOSICAO",$B151="INSUMO",$B151&lt;&gt;""),$B151&lt;&gt;"")</formula>
    </cfRule>
  </conditionalFormatting>
  <conditionalFormatting sqref="A148:B148 D148:H148 F150">
    <cfRule type="expression" dxfId="70" priority="89" stopIfTrue="1">
      <formula>AND($A148&lt;&gt;"COMPOSICAO",$A148&lt;&gt;"INSUMO",$A148&lt;&gt;"")</formula>
    </cfRule>
    <cfRule type="expression" dxfId="69" priority="90" stopIfTrue="1">
      <formula>AND(OR($A148="COMPOSICAO",$A148="INSUMO",$A148&lt;&gt;""),$A148&lt;&gt;"")</formula>
    </cfRule>
  </conditionalFormatting>
  <conditionalFormatting sqref="A150">
    <cfRule type="expression" dxfId="68" priority="87" stopIfTrue="1">
      <formula>AND($A150&lt;&gt;"COMPOSICAO",$A150&lt;&gt;"INSUMO",$A150&lt;&gt;"")</formula>
    </cfRule>
    <cfRule type="expression" dxfId="67" priority="88" stopIfTrue="1">
      <formula>AND(OR($A150="COMPOSICAO",$A150="INSUMO",$A150&lt;&gt;""),$A150&lt;&gt;"")</formula>
    </cfRule>
  </conditionalFormatting>
  <conditionalFormatting sqref="E150">
    <cfRule type="expression" dxfId="66" priority="77" stopIfTrue="1">
      <formula>AND($A150&lt;&gt;"COMPOSICAO",$A150&lt;&gt;"INSUMO",$A150&lt;&gt;"")</formula>
    </cfRule>
    <cfRule type="expression" dxfId="65" priority="78" stopIfTrue="1">
      <formula>AND(OR($A150="COMPOSICAO",$A150="INSUMO",$A150&lt;&gt;""),$A150&lt;&gt;"")</formula>
    </cfRule>
  </conditionalFormatting>
  <conditionalFormatting sqref="A149">
    <cfRule type="expression" dxfId="64" priority="75" stopIfTrue="1">
      <formula>AND($B149&lt;&gt;"COMPOSICAO",$B149&lt;&gt;"INSUMO",$B149&lt;&gt;"")</formula>
    </cfRule>
    <cfRule type="expression" dxfId="63" priority="76" stopIfTrue="1">
      <formula>AND(OR($B149="COMPOSICAO",$B149="INSUMO",$B149&lt;&gt;""),$B149&lt;&gt;"")</formula>
    </cfRule>
  </conditionalFormatting>
  <conditionalFormatting sqref="B156 H155:H156 B155:F155 D156">
    <cfRule type="expression" dxfId="62" priority="73" stopIfTrue="1">
      <formula>AND($A155&lt;&gt;"COMPOSICAO",$A155&lt;&gt;"INSUMO",$A155&lt;&gt;"")</formula>
    </cfRule>
    <cfRule type="expression" dxfId="61" priority="74" stopIfTrue="1">
      <formula>AND(OR($A155="COMPOSICAO",$A155="INSUMO",$A155&lt;&gt;""),$A155&lt;&gt;"")</formula>
    </cfRule>
  </conditionalFormatting>
  <conditionalFormatting sqref="G155">
    <cfRule type="expression" dxfId="60" priority="61" stopIfTrue="1">
      <formula>AND($A155&lt;&gt;"COMPOSICAO",$A155&lt;&gt;"INSUMO",$A155&lt;&gt;"")</formula>
    </cfRule>
    <cfRule type="expression" dxfId="59" priority="62" stopIfTrue="1">
      <formula>AND(OR($A155="COMPOSICAO",$A155="INSUMO",$A155&lt;&gt;""),$A155&lt;&gt;"")</formula>
    </cfRule>
  </conditionalFormatting>
  <conditionalFormatting sqref="C154">
    <cfRule type="expression" dxfId="58" priority="59" stopIfTrue="1">
      <formula>AND($A154&lt;&gt;"COMPOSICAO",$A154&lt;&gt;"INSUMO",$A154&lt;&gt;"")</formula>
    </cfRule>
    <cfRule type="expression" dxfId="57" priority="60" stopIfTrue="1">
      <formula>AND(OR($A154="COMPOSICAO",$A154="INSUMO",$A154&lt;&gt;""),$A154&lt;&gt;"")</formula>
    </cfRule>
  </conditionalFormatting>
  <conditionalFormatting sqref="G157:H157">
    <cfRule type="expression" dxfId="56" priority="71" stopIfTrue="1">
      <formula>AND($B157&lt;&gt;"COMPOSICAO",$B157&lt;&gt;"INSUMO",$B157&lt;&gt;"")</formula>
    </cfRule>
    <cfRule type="expression" dxfId="55" priority="72" stopIfTrue="1">
      <formula>AND(OR($B157="COMPOSICAO",$B157="INSUMO",$B157&lt;&gt;""),$B157&lt;&gt;"")</formula>
    </cfRule>
  </conditionalFormatting>
  <conditionalFormatting sqref="A154:B154 D154:H154 F156">
    <cfRule type="expression" dxfId="54" priority="69" stopIfTrue="1">
      <formula>AND($A154&lt;&gt;"COMPOSICAO",$A154&lt;&gt;"INSUMO",$A154&lt;&gt;"")</formula>
    </cfRule>
    <cfRule type="expression" dxfId="53" priority="70" stopIfTrue="1">
      <formula>AND(OR($A154="COMPOSICAO",$A154="INSUMO",$A154&lt;&gt;""),$A154&lt;&gt;"")</formula>
    </cfRule>
  </conditionalFormatting>
  <conditionalFormatting sqref="A156">
    <cfRule type="expression" dxfId="52" priority="67" stopIfTrue="1">
      <formula>AND($A156&lt;&gt;"COMPOSICAO",$A156&lt;&gt;"INSUMO",$A156&lt;&gt;"")</formula>
    </cfRule>
    <cfRule type="expression" dxfId="51" priority="68" stopIfTrue="1">
      <formula>AND(OR($A156="COMPOSICAO",$A156="INSUMO",$A156&lt;&gt;""),$A156&lt;&gt;"")</formula>
    </cfRule>
  </conditionalFormatting>
  <conditionalFormatting sqref="E156">
    <cfRule type="expression" dxfId="50" priority="57" stopIfTrue="1">
      <formula>AND($A156&lt;&gt;"COMPOSICAO",$A156&lt;&gt;"INSUMO",$A156&lt;&gt;"")</formula>
    </cfRule>
    <cfRule type="expression" dxfId="49" priority="58" stopIfTrue="1">
      <formula>AND(OR($A156="COMPOSICAO",$A156="INSUMO",$A156&lt;&gt;""),$A156&lt;&gt;"")</formula>
    </cfRule>
  </conditionalFormatting>
  <conditionalFormatting sqref="A155">
    <cfRule type="expression" dxfId="48" priority="55" stopIfTrue="1">
      <formula>AND($B155&lt;&gt;"COMPOSICAO",$B155&lt;&gt;"INSUMO",$B155&lt;&gt;"")</formula>
    </cfRule>
    <cfRule type="expression" dxfId="47" priority="56" stopIfTrue="1">
      <formula>AND(OR($B155="COMPOSICAO",$B155="INSUMO",$B155&lt;&gt;""),$B155&lt;&gt;"")</formula>
    </cfRule>
  </conditionalFormatting>
  <conditionalFormatting sqref="C156">
    <cfRule type="expression" dxfId="46" priority="53" stopIfTrue="1">
      <formula>AND($A156&lt;&gt;"COMPOSICAO",$A156&lt;&gt;"INSUMO",$A156&lt;&gt;"")</formula>
    </cfRule>
    <cfRule type="expression" dxfId="45" priority="54" stopIfTrue="1">
      <formula>AND(OR($A156="COMPOSICAO",$A156="INSUMO",$A156&lt;&gt;""),$A156&lt;&gt;"")</formula>
    </cfRule>
  </conditionalFormatting>
  <conditionalFormatting sqref="A162:A163 B161:H163">
    <cfRule type="expression" dxfId="44" priority="51" stopIfTrue="1">
      <formula>AND($A161&lt;&gt;"COMPOSICAO",$A161&lt;&gt;"INSUMO",$A161&lt;&gt;"")</formula>
    </cfRule>
    <cfRule type="expression" dxfId="43" priority="52" stopIfTrue="1">
      <formula>AND(OR($A161="COMPOSICAO",$A161="INSUMO",$A161&lt;&gt;""),$A161&lt;&gt;"")</formula>
    </cfRule>
  </conditionalFormatting>
  <conditionalFormatting sqref="A160:H160">
    <cfRule type="expression" dxfId="42" priority="47" stopIfTrue="1">
      <formula>AND($A160&lt;&gt;"COMPOSICAO",$A160&lt;&gt;"INSUMO",$A160&lt;&gt;"")</formula>
    </cfRule>
    <cfRule type="expression" dxfId="41" priority="48" stopIfTrue="1">
      <formula>AND(OR($A160="COMPOSICAO",$A160="INSUMO",$A160&lt;&gt;""),$A160&lt;&gt;"")</formula>
    </cfRule>
  </conditionalFormatting>
  <conditionalFormatting sqref="G164:H164">
    <cfRule type="expression" dxfId="40" priority="49" stopIfTrue="1">
      <formula>AND($B164&lt;&gt;"COMPOSICAO",$B164&lt;&gt;"INSUMO",$B164&lt;&gt;"")</formula>
    </cfRule>
    <cfRule type="expression" dxfId="39" priority="50" stopIfTrue="1">
      <formula>AND(OR($B164="COMPOSICAO",$B164="INSUMO",$B164&lt;&gt;""),$B164&lt;&gt;"")</formula>
    </cfRule>
  </conditionalFormatting>
  <conditionalFormatting sqref="A161">
    <cfRule type="expression" dxfId="38" priority="45" stopIfTrue="1">
      <formula>AND($B161&lt;&gt;"COMPOSICAO",$B161&lt;&gt;"INSUMO",$B161&lt;&gt;"")</formula>
    </cfRule>
    <cfRule type="expression" dxfId="37" priority="46" stopIfTrue="1">
      <formula>AND(OR($B161="COMPOSICAO",$B161="INSUMO",$B161&lt;&gt;""),$B161&lt;&gt;"")</formula>
    </cfRule>
  </conditionalFormatting>
  <conditionalFormatting sqref="C20:D21">
    <cfRule type="expression" dxfId="36" priority="35" stopIfTrue="1">
      <formula>AND($A20&lt;&gt;"COMPOSICAO",$A20&lt;&gt;"INSUMO",$A20&lt;&gt;"")</formula>
    </cfRule>
    <cfRule type="expression" dxfId="35" priority="36" stopIfTrue="1">
      <formula>AND(OR($A20="COMPOSICAO",$A20="INSUMO",$A20&lt;&gt;""),$A20&lt;&gt;"")</formula>
    </cfRule>
  </conditionalFormatting>
  <conditionalFormatting sqref="A166:H166">
    <cfRule type="expression" dxfId="34" priority="27" stopIfTrue="1">
      <formula>AND($A166&lt;&gt;"COMPOSICAO",$A166&lt;&gt;"INSUMO",$A166&lt;&gt;"")</formula>
    </cfRule>
    <cfRule type="expression" dxfId="33" priority="28" stopIfTrue="1">
      <formula>AND(OR($A166="COMPOSICAO",$A166="INSUMO",$A166&lt;&gt;""),$A166&lt;&gt;"")</formula>
    </cfRule>
  </conditionalFormatting>
  <conditionalFormatting sqref="G168:H168">
    <cfRule type="expression" dxfId="32" priority="29" stopIfTrue="1">
      <formula>AND($B168&lt;&gt;"COMPOSICAO",$B168&lt;&gt;"INSUMO",$B168&lt;&gt;"")</formula>
    </cfRule>
    <cfRule type="expression" dxfId="31" priority="30" stopIfTrue="1">
      <formula>AND(OR($B168="COMPOSICAO",$B168="INSUMO",$B168&lt;&gt;""),$B168&lt;&gt;"")</formula>
    </cfRule>
  </conditionalFormatting>
  <conditionalFormatting sqref="A167">
    <cfRule type="expression" dxfId="30" priority="25" stopIfTrue="1">
      <formula>AND($B167&lt;&gt;"COMPOSICAO",$B167&lt;&gt;"INSUMO",$B167&lt;&gt;"")</formula>
    </cfRule>
    <cfRule type="expression" dxfId="29" priority="26" stopIfTrue="1">
      <formula>AND(OR($B167="COMPOSICAO",$B167="INSUMO",$B167&lt;&gt;""),$B167&lt;&gt;"")</formula>
    </cfRule>
  </conditionalFormatting>
  <conditionalFormatting sqref="B211:E214">
    <cfRule type="expression" dxfId="28" priority="21" stopIfTrue="1">
      <formula>AND($A211&lt;&gt;"COMPOSICAO",$A211&lt;&gt;"INSUMO",$A211&lt;&gt;"")</formula>
    </cfRule>
    <cfRule type="expression" dxfId="27" priority="22" stopIfTrue="1">
      <formula>AND(OR($A211="COMPOSICAO",$A211="INSUMO",$A211&lt;&gt;""),$A211&lt;&gt;"")</formula>
    </cfRule>
  </conditionalFormatting>
  <conditionalFormatting sqref="E104">
    <cfRule type="expression" dxfId="26" priority="19" stopIfTrue="1">
      <formula>AND($A104&lt;&gt;"COMPOSICAO",$A104&lt;&gt;"INSUMO",$A104&lt;&gt;"")</formula>
    </cfRule>
    <cfRule type="expression" dxfId="25" priority="20" stopIfTrue="1">
      <formula>AND(OR($A104="COMPOSICAO",$A104="INSUMO",$A104&lt;&gt;""),$A104&lt;&gt;"")</formula>
    </cfRule>
  </conditionalFormatting>
  <conditionalFormatting sqref="E109">
    <cfRule type="expression" dxfId="24" priority="17" stopIfTrue="1">
      <formula>AND($A109&lt;&gt;"COMPOSICAO",$A109&lt;&gt;"INSUMO",$A109&lt;&gt;"")</formula>
    </cfRule>
    <cfRule type="expression" dxfId="23" priority="18" stopIfTrue="1">
      <formula>AND(OR($A109="COMPOSICAO",$A109="INSUMO",$A109&lt;&gt;""),$A109&lt;&gt;"")</formula>
    </cfRule>
  </conditionalFormatting>
  <conditionalFormatting sqref="G121">
    <cfRule type="expression" dxfId="22" priority="11" stopIfTrue="1">
      <formula>AND($A121&lt;&gt;"COMPOSICAO",$A121&lt;&gt;"INSUMO",$A121&lt;&gt;"")</formula>
    </cfRule>
    <cfRule type="expression" dxfId="21" priority="12" stopIfTrue="1">
      <formula>AND(OR($A121="COMPOSICAO",$A121="INSUMO",$A121&lt;&gt;""),$A121&lt;&gt;"")</formula>
    </cfRule>
  </conditionalFormatting>
  <conditionalFormatting sqref="A121:F121 H121 A119:C120 E119:H120">
    <cfRule type="expression" dxfId="20" priority="15" stopIfTrue="1">
      <formula>AND($A119&lt;&gt;"COMPOSICAO",$A119&lt;&gt;"INSUMO",$A119&lt;&gt;"")</formula>
    </cfRule>
    <cfRule type="expression" dxfId="19" priority="16" stopIfTrue="1">
      <formula>AND(OR($A119="COMPOSICAO",$A119="INSUMO",$A119&lt;&gt;""),$A119&lt;&gt;"")</formula>
    </cfRule>
  </conditionalFormatting>
  <conditionalFormatting sqref="G122:H122">
    <cfRule type="expression" dxfId="18" priority="13" stopIfTrue="1">
      <formula>AND($B122&lt;&gt;"COMPOSICAO",$B122&lt;&gt;"INSUMO",$B122&lt;&gt;"")</formula>
    </cfRule>
    <cfRule type="expression" dxfId="17" priority="14" stopIfTrue="1">
      <formula>AND(OR($B122="COMPOSICAO",$B122="INSUMO",$B122&lt;&gt;""),$B122&lt;&gt;"")</formula>
    </cfRule>
  </conditionalFormatting>
  <conditionalFormatting sqref="D119">
    <cfRule type="expression" dxfId="16" priority="9" stopIfTrue="1">
      <formula>AND($A119&lt;&gt;"COMPOSICAO",$A119&lt;&gt;"INSUMO",$A119&lt;&gt;"")</formula>
    </cfRule>
    <cfRule type="expression" dxfId="15" priority="10" stopIfTrue="1">
      <formula>AND(OR($A119="COMPOSICAO",$A119="INSUMO",$A119&lt;&gt;""),$A119&lt;&gt;"")</formula>
    </cfRule>
  </conditionalFormatting>
  <conditionalFormatting sqref="D120">
    <cfRule type="expression" dxfId="14" priority="7" stopIfTrue="1">
      <formula>AND($A120&lt;&gt;"COMPOSICAO",$A120&lt;&gt;"INSUMO",$A120&lt;&gt;"")</formula>
    </cfRule>
    <cfRule type="expression" dxfId="13" priority="8" stopIfTrue="1">
      <formula>AND(OR($A120="COMPOSICAO",$A120="INSUMO",$A120&lt;&gt;""),$A120&lt;&gt;"")</formula>
    </cfRule>
  </conditionalFormatting>
  <conditionalFormatting sqref="A53:B54 F47:H54 A46:H52">
    <cfRule type="expression" dxfId="12" priority="5" stopIfTrue="1">
      <formula>AND($A46&lt;&gt;"COMPOSICAO",$A46&lt;&gt;"INSUMO",$A46&lt;&gt;"")</formula>
    </cfRule>
    <cfRule type="expression" dxfId="11" priority="6" stopIfTrue="1">
      <formula>AND(OR($A46="COMPOSICAO",$A46="INSUMO",$A46&lt;&gt;""),$A46&lt;&gt;"")</formula>
    </cfRule>
  </conditionalFormatting>
  <conditionalFormatting sqref="G55:H55">
    <cfRule type="expression" dxfId="10" priority="3" stopIfTrue="1">
      <formula>AND($B55&lt;&gt;"COMPOSICAO",$B55&lt;&gt;"INSUMO",$B55&lt;&gt;"")</formula>
    </cfRule>
    <cfRule type="expression" dxfId="9" priority="4" stopIfTrue="1">
      <formula>AND(OR($B55="COMPOSICAO",$B55="INSUMO",$B55&lt;&gt;""),$B55&lt;&gt;"")</formula>
    </cfRule>
  </conditionalFormatting>
  <conditionalFormatting sqref="C53:G54">
    <cfRule type="expression" dxfId="8" priority="1" stopIfTrue="1">
      <formula>AND($A53&lt;&gt;"COMPOSICAO",$A53&lt;&gt;"INSUMO",$A53&lt;&gt;"")</formula>
    </cfRule>
    <cfRule type="expression" dxfId="7" priority="2" stopIfTrue="1">
      <formula>AND(OR($A53="COMPOSICAO",$A53="INSUMO",$A53&lt;&gt;""),$A53&lt;&gt;"")</formula>
    </cfRule>
  </conditionalFormatting>
  <pageMargins left="0.51181102362204722" right="0.51181102362204722" top="0.78740157480314965" bottom="0.78740157480314965" header="0.31496062992125984" footer="0.31496062992125984"/>
  <pageSetup paperSize="9" scale="58" orientation="portrait" r:id="rId1"/>
  <headerFooter>
    <oddFooter>&amp;RCoordenação de Orçamento e Planejamento 
Eng. Civil Inácio Alves
CREA/BA: 25.577-D</oddFooter>
  </headerFooter>
  <rowBreaks count="3" manualBreakCount="3">
    <brk id="68" max="7" man="1"/>
    <brk id="133" max="16383" man="1"/>
    <brk id="19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0"/>
  <sheetViews>
    <sheetView showZeros="0" view="pageBreakPreview" zoomScale="75" zoomScaleNormal="70" zoomScaleSheetLayoutView="75" workbookViewId="0">
      <selection activeCell="V114" sqref="V114"/>
    </sheetView>
  </sheetViews>
  <sheetFormatPr defaultColWidth="11.42578125" defaultRowHeight="12.75"/>
  <cols>
    <col min="1" max="1" width="10.85546875" style="168" customWidth="1"/>
    <col min="2" max="2" width="49.140625" style="103" customWidth="1"/>
    <col min="3" max="3" width="16.42578125" style="83" customWidth="1"/>
    <col min="4" max="4" width="12.140625" style="83" customWidth="1"/>
    <col min="5" max="5" width="15.85546875" style="84" customWidth="1"/>
    <col min="6" max="6" width="18.7109375" style="85" customWidth="1"/>
    <col min="7" max="7" width="10.7109375" style="103" customWidth="1"/>
    <col min="8" max="8" width="16.7109375" style="103" customWidth="1"/>
    <col min="9" max="9" width="10.7109375" style="103" customWidth="1"/>
    <col min="10" max="10" width="16.7109375" style="103" customWidth="1"/>
    <col min="11" max="11" width="10.7109375" style="120" customWidth="1"/>
    <col min="12" max="12" width="16.7109375" style="103" customWidth="1"/>
    <col min="13" max="16" width="11.7109375" style="103" hidden="1" customWidth="1"/>
    <col min="17" max="17" width="1" style="103" hidden="1" customWidth="1"/>
    <col min="18" max="18" width="5.7109375" style="103" customWidth="1"/>
    <col min="19" max="19" width="18.28515625" style="104" customWidth="1"/>
    <col min="20" max="20" width="11.42578125" style="104" customWidth="1"/>
    <col min="21" max="21" width="19.140625" style="103" customWidth="1"/>
    <col min="22" max="22" width="14.28515625" style="103" bestFit="1" customWidth="1"/>
    <col min="23" max="16384" width="11.42578125" style="103"/>
  </cols>
  <sheetData>
    <row r="1" spans="1:22" ht="30" customHeight="1">
      <c r="A1" s="653" t="s">
        <v>812</v>
      </c>
      <c r="B1" s="654"/>
      <c r="C1" s="654"/>
      <c r="D1" s="654"/>
      <c r="E1" s="654"/>
      <c r="F1" s="45"/>
      <c r="G1" s="46"/>
      <c r="H1" s="100"/>
      <c r="I1" s="100"/>
      <c r="J1" s="100"/>
      <c r="K1" s="101"/>
      <c r="L1" s="102"/>
      <c r="M1" s="100"/>
      <c r="N1" s="100"/>
      <c r="O1" s="100"/>
      <c r="P1" s="100"/>
      <c r="Q1" s="102"/>
    </row>
    <row r="2" spans="1:22" ht="25.5" customHeight="1">
      <c r="A2" s="655">
        <f>SERVIÇOS!A2</f>
        <v>0</v>
      </c>
      <c r="B2" s="690"/>
      <c r="C2" s="690"/>
      <c r="D2" s="690"/>
      <c r="E2" s="690"/>
      <c r="F2" s="47"/>
      <c r="G2" s="48"/>
      <c r="H2" s="105"/>
      <c r="I2" s="105"/>
      <c r="J2" s="105"/>
      <c r="K2" s="106"/>
      <c r="L2" s="107"/>
      <c r="M2" s="105"/>
      <c r="N2" s="105"/>
      <c r="O2" s="105"/>
      <c r="P2" s="105"/>
      <c r="Q2" s="107"/>
    </row>
    <row r="3" spans="1:22" ht="23.25" customHeight="1">
      <c r="A3" s="657">
        <f>SERVIÇOS!A3</f>
        <v>0</v>
      </c>
      <c r="B3" s="658"/>
      <c r="C3" s="658"/>
      <c r="D3" s="658"/>
      <c r="E3" s="658"/>
      <c r="F3" s="47"/>
      <c r="G3" s="48"/>
      <c r="H3" s="105"/>
      <c r="I3" s="105"/>
      <c r="J3" s="105"/>
      <c r="K3" s="106"/>
      <c r="L3" s="107"/>
      <c r="M3" s="105"/>
      <c r="N3" s="105"/>
      <c r="O3" s="105"/>
      <c r="P3" s="105"/>
      <c r="Q3" s="107"/>
    </row>
    <row r="4" spans="1:22" ht="20.25">
      <c r="A4" s="108" t="s">
        <v>5</v>
      </c>
      <c r="B4" s="29"/>
      <c r="C4" s="30"/>
      <c r="D4" s="99"/>
      <c r="E4" s="109" t="s">
        <v>7</v>
      </c>
      <c r="F4" s="47"/>
      <c r="G4" s="48"/>
      <c r="H4" s="105"/>
      <c r="I4" s="105"/>
      <c r="J4" s="105"/>
      <c r="K4" s="106"/>
      <c r="L4" s="107"/>
      <c r="M4" s="105"/>
      <c r="N4" s="105"/>
      <c r="O4" s="105"/>
      <c r="P4" s="105"/>
      <c r="Q4" s="107"/>
    </row>
    <row r="5" spans="1:22" ht="18" customHeight="1">
      <c r="A5" s="691" t="str">
        <f>SERVIÇOS!A5</f>
        <v>Construção da Coordenadoria de Tecnologias Educacionais da SEAD</v>
      </c>
      <c r="B5" s="692"/>
      <c r="C5" s="692"/>
      <c r="D5" s="692"/>
      <c r="E5" s="659" t="str">
        <f>SERVIÇOS!D5</f>
        <v>SETEMBRO/2017</v>
      </c>
      <c r="F5" s="693"/>
      <c r="G5" s="48"/>
      <c r="H5" s="105"/>
      <c r="I5" s="105"/>
      <c r="J5" s="105"/>
      <c r="K5" s="106"/>
      <c r="L5" s="107"/>
      <c r="M5" s="105"/>
      <c r="N5" s="105"/>
      <c r="O5" s="105"/>
      <c r="P5" s="105"/>
      <c r="Q5" s="107"/>
    </row>
    <row r="6" spans="1:22" ht="18" customHeight="1">
      <c r="A6" s="660" t="s">
        <v>6</v>
      </c>
      <c r="B6" s="661"/>
      <c r="C6" s="30"/>
      <c r="D6" s="49"/>
      <c r="E6" s="109" t="s">
        <v>24</v>
      </c>
      <c r="F6" s="47"/>
      <c r="G6" s="689" t="s">
        <v>25</v>
      </c>
      <c r="H6" s="689"/>
      <c r="I6" s="105"/>
      <c r="J6" s="472" t="s">
        <v>26</v>
      </c>
      <c r="K6" s="106"/>
      <c r="L6" s="107"/>
      <c r="M6" s="105"/>
      <c r="N6" s="105"/>
      <c r="O6" s="105"/>
      <c r="P6" s="105"/>
      <c r="Q6" s="107"/>
      <c r="U6" s="103">
        <f>24*30</f>
        <v>720</v>
      </c>
    </row>
    <row r="7" spans="1:22" ht="21" thickBot="1">
      <c r="A7" s="110" t="str">
        <f>SERVIÇOS!A7</f>
        <v>Campus da Federação Universidade Federal da Bahia, Salvador - Bahia</v>
      </c>
      <c r="B7" s="111"/>
      <c r="C7" s="50"/>
      <c r="D7" s="112"/>
      <c r="E7" s="679">
        <f>SERVIÇOS!D7</f>
        <v>97.449999999999989</v>
      </c>
      <c r="F7" s="679"/>
      <c r="G7" s="680">
        <f>SERVIÇOS!G203</f>
        <v>0</v>
      </c>
      <c r="H7" s="680"/>
      <c r="I7" s="113"/>
      <c r="J7" s="473">
        <f>G7/E7</f>
        <v>0</v>
      </c>
      <c r="K7" s="114"/>
      <c r="L7" s="115"/>
      <c r="M7" s="105"/>
      <c r="N7" s="105"/>
      <c r="O7" s="105"/>
      <c r="P7" s="105"/>
      <c r="Q7" s="107"/>
      <c r="R7" s="116" t="s">
        <v>27</v>
      </c>
      <c r="S7" s="117">
        <f>SERVIÇOS!F202</f>
        <v>0</v>
      </c>
    </row>
    <row r="8" spans="1:22">
      <c r="A8" s="681" t="s">
        <v>28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3"/>
      <c r="M8" s="105"/>
      <c r="N8" s="105"/>
      <c r="O8" s="105"/>
      <c r="P8" s="105"/>
      <c r="Q8" s="107"/>
      <c r="R8" s="116" t="s">
        <v>27</v>
      </c>
      <c r="S8" s="117" t="e">
        <f>SERVIÇOS!#REF!</f>
        <v>#REF!</v>
      </c>
    </row>
    <row r="9" spans="1:22" ht="14.1" customHeight="1">
      <c r="A9" s="684" t="s">
        <v>29</v>
      </c>
      <c r="B9" s="685" t="s">
        <v>30</v>
      </c>
      <c r="C9" s="686" t="s">
        <v>31</v>
      </c>
      <c r="D9" s="687" t="s">
        <v>0</v>
      </c>
      <c r="E9" s="686" t="s">
        <v>748</v>
      </c>
      <c r="F9" s="688" t="s">
        <v>749</v>
      </c>
      <c r="G9" s="668" t="s">
        <v>33</v>
      </c>
      <c r="H9" s="668"/>
      <c r="I9" s="668" t="s">
        <v>34</v>
      </c>
      <c r="J9" s="668"/>
      <c r="K9" s="668" t="s">
        <v>35</v>
      </c>
      <c r="L9" s="669"/>
      <c r="M9" s="105"/>
      <c r="N9" s="105"/>
      <c r="O9" s="105"/>
      <c r="P9" s="105"/>
      <c r="Q9" s="107"/>
      <c r="R9" s="116"/>
      <c r="S9" s="120"/>
    </row>
    <row r="10" spans="1:22" ht="14.1" customHeight="1">
      <c r="A10" s="684"/>
      <c r="B10" s="685"/>
      <c r="C10" s="686"/>
      <c r="D10" s="687"/>
      <c r="E10" s="686"/>
      <c r="F10" s="688"/>
      <c r="G10" s="118" t="s">
        <v>0</v>
      </c>
      <c r="H10" s="118" t="s">
        <v>36</v>
      </c>
      <c r="I10" s="118" t="s">
        <v>0</v>
      </c>
      <c r="J10" s="118" t="s">
        <v>36</v>
      </c>
      <c r="K10" s="121" t="s">
        <v>0</v>
      </c>
      <c r="L10" s="119" t="s">
        <v>36</v>
      </c>
      <c r="M10" s="105"/>
      <c r="N10" s="105"/>
      <c r="O10" s="105"/>
      <c r="P10" s="105"/>
      <c r="Q10" s="107"/>
      <c r="R10" s="116"/>
      <c r="S10" s="120"/>
    </row>
    <row r="11" spans="1:22" s="126" customFormat="1" ht="18" customHeight="1">
      <c r="A11" s="51">
        <v>1</v>
      </c>
      <c r="B11" s="52" t="str">
        <f>SERVIÇOS!C9</f>
        <v>MOBILIZAÇÃO</v>
      </c>
      <c r="C11" s="53">
        <f>SERVIÇOS!G9</f>
        <v>0</v>
      </c>
      <c r="D11" s="54" t="e">
        <f>F11/$G$7</f>
        <v>#DIV/0!</v>
      </c>
      <c r="E11" s="55">
        <f t="shared" ref="E11:E26" si="0">C11*$S$7</f>
        <v>0</v>
      </c>
      <c r="F11" s="55">
        <f>E11+C11</f>
        <v>0</v>
      </c>
      <c r="G11" s="56">
        <v>1</v>
      </c>
      <c r="H11" s="57">
        <f>G11*F11</f>
        <v>0</v>
      </c>
      <c r="I11" s="56"/>
      <c r="J11" s="57">
        <f>I11*F11</f>
        <v>0</v>
      </c>
      <c r="K11" s="56"/>
      <c r="L11" s="58">
        <f t="shared" ref="L11:L26" si="1">K11*F11</f>
        <v>0</v>
      </c>
      <c r="M11" s="59"/>
      <c r="N11" s="60"/>
      <c r="O11" s="61"/>
      <c r="P11" s="60"/>
      <c r="Q11" s="62"/>
      <c r="R11" s="122"/>
      <c r="S11" s="63">
        <f>G11+I11+K11</f>
        <v>1</v>
      </c>
      <c r="T11" s="123">
        <v>30</v>
      </c>
      <c r="U11" s="124" t="e">
        <f>H35</f>
        <v>#DIV/0!</v>
      </c>
      <c r="V11" s="125" t="e">
        <f>G36</f>
        <v>#DIV/0!</v>
      </c>
    </row>
    <row r="12" spans="1:22" s="126" customFormat="1" ht="18" customHeight="1">
      <c r="A12" s="51">
        <v>3</v>
      </c>
      <c r="B12" s="52" t="str">
        <f>SERVIÇOS!C19</f>
        <v>DEMOLIÇÕES E RETIRADAS</v>
      </c>
      <c r="C12" s="53">
        <f>SERVIÇOS!G19</f>
        <v>0</v>
      </c>
      <c r="D12" s="54" t="e">
        <f t="shared" ref="D12:D26" si="2">F12/$G$7</f>
        <v>#DIV/0!</v>
      </c>
      <c r="E12" s="55">
        <f t="shared" si="0"/>
        <v>0</v>
      </c>
      <c r="F12" s="55">
        <f>E12+C12</f>
        <v>0</v>
      </c>
      <c r="G12" s="56">
        <v>1</v>
      </c>
      <c r="H12" s="57">
        <f t="shared" ref="H12:H26" si="3">G12*F12</f>
        <v>0</v>
      </c>
      <c r="I12" s="56"/>
      <c r="J12" s="57">
        <f t="shared" ref="J12:J26" si="4">I12*F12</f>
        <v>0</v>
      </c>
      <c r="K12" s="56">
        <f>I12</f>
        <v>0</v>
      </c>
      <c r="L12" s="58">
        <f t="shared" si="1"/>
        <v>0</v>
      </c>
      <c r="M12" s="59"/>
      <c r="N12" s="60"/>
      <c r="O12" s="61"/>
      <c r="P12" s="60"/>
      <c r="Q12" s="62"/>
      <c r="R12" s="122"/>
      <c r="S12" s="63">
        <f t="shared" ref="S12:S33" si="5">G12+I12+K12</f>
        <v>1</v>
      </c>
      <c r="T12" s="123">
        <f>T11+30</f>
        <v>60</v>
      </c>
      <c r="U12" s="124" t="e">
        <f>J35</f>
        <v>#DIV/0!</v>
      </c>
      <c r="V12" s="125" t="e">
        <f>I36</f>
        <v>#DIV/0!</v>
      </c>
    </row>
    <row r="13" spans="1:22" s="126" customFormat="1" ht="18" customHeight="1">
      <c r="A13" s="51">
        <f>A12+1</f>
        <v>4</v>
      </c>
      <c r="B13" s="127" t="str">
        <f>SERVIÇOS!C45</f>
        <v>ALVENARIAS E DIVISÓRIAS</v>
      </c>
      <c r="C13" s="53">
        <f>SERVIÇOS!G45</f>
        <v>0</v>
      </c>
      <c r="D13" s="54" t="e">
        <f t="shared" si="2"/>
        <v>#DIV/0!</v>
      </c>
      <c r="E13" s="55">
        <f t="shared" si="0"/>
        <v>0</v>
      </c>
      <c r="F13" s="55">
        <f t="shared" ref="F13:F18" si="6">E13+C13</f>
        <v>0</v>
      </c>
      <c r="G13" s="56">
        <v>1</v>
      </c>
      <c r="H13" s="57">
        <f t="shared" si="3"/>
        <v>0</v>
      </c>
      <c r="I13" s="56"/>
      <c r="J13" s="57">
        <f t="shared" si="4"/>
        <v>0</v>
      </c>
      <c r="K13" s="56"/>
      <c r="L13" s="58">
        <f t="shared" si="1"/>
        <v>0</v>
      </c>
      <c r="M13" s="59"/>
      <c r="N13" s="60"/>
      <c r="O13" s="61"/>
      <c r="P13" s="60"/>
      <c r="Q13" s="62"/>
      <c r="R13" s="122"/>
      <c r="S13" s="63">
        <f t="shared" si="5"/>
        <v>1</v>
      </c>
      <c r="T13" s="123">
        <f>T12+30</f>
        <v>90</v>
      </c>
      <c r="U13" s="124" t="e">
        <f>L35</f>
        <v>#DIV/0!</v>
      </c>
      <c r="V13" s="125" t="e">
        <f>K36</f>
        <v>#DIV/0!</v>
      </c>
    </row>
    <row r="14" spans="1:22" s="126" customFormat="1" ht="18" customHeight="1">
      <c r="A14" s="51">
        <f t="shared" ref="A14:A26" si="7">A13+1</f>
        <v>5</v>
      </c>
      <c r="B14" s="127" t="str">
        <f>SERVIÇOS!C51</f>
        <v>PAVIMENTAÇÃO</v>
      </c>
      <c r="C14" s="53">
        <f>SERVIÇOS!G51</f>
        <v>0</v>
      </c>
      <c r="D14" s="54" t="e">
        <f t="shared" si="2"/>
        <v>#DIV/0!</v>
      </c>
      <c r="E14" s="55">
        <f t="shared" si="0"/>
        <v>0</v>
      </c>
      <c r="F14" s="55">
        <f t="shared" si="6"/>
        <v>0</v>
      </c>
      <c r="G14" s="56"/>
      <c r="H14" s="57">
        <f t="shared" si="3"/>
        <v>0</v>
      </c>
      <c r="I14" s="56">
        <v>0.8</v>
      </c>
      <c r="J14" s="57">
        <f t="shared" si="4"/>
        <v>0</v>
      </c>
      <c r="K14" s="56">
        <v>0.2</v>
      </c>
      <c r="L14" s="58">
        <f t="shared" si="1"/>
        <v>0</v>
      </c>
      <c r="M14" s="59"/>
      <c r="N14" s="60"/>
      <c r="O14" s="61"/>
      <c r="P14" s="60"/>
      <c r="Q14" s="62"/>
      <c r="R14" s="122"/>
      <c r="S14" s="63">
        <f t="shared" si="5"/>
        <v>1</v>
      </c>
      <c r="T14" s="123"/>
      <c r="U14" s="124"/>
      <c r="V14" s="125"/>
    </row>
    <row r="15" spans="1:22" s="126" customFormat="1" ht="18" customHeight="1">
      <c r="A15" s="51">
        <f t="shared" si="7"/>
        <v>6</v>
      </c>
      <c r="B15" s="127" t="str">
        <f>SERVIÇOS!C62</f>
        <v>REVESTIMENTOS</v>
      </c>
      <c r="C15" s="53">
        <f>SERVIÇOS!G62</f>
        <v>0</v>
      </c>
      <c r="D15" s="54" t="e">
        <f t="shared" si="2"/>
        <v>#DIV/0!</v>
      </c>
      <c r="E15" s="55">
        <f t="shared" si="0"/>
        <v>0</v>
      </c>
      <c r="F15" s="55">
        <f t="shared" si="6"/>
        <v>0</v>
      </c>
      <c r="G15" s="56">
        <v>0.5</v>
      </c>
      <c r="H15" s="57">
        <f t="shared" si="3"/>
        <v>0</v>
      </c>
      <c r="I15" s="56">
        <f>G15</f>
        <v>0.5</v>
      </c>
      <c r="J15" s="57">
        <f t="shared" si="4"/>
        <v>0</v>
      </c>
      <c r="K15" s="56"/>
      <c r="L15" s="58">
        <f t="shared" si="1"/>
        <v>0</v>
      </c>
      <c r="M15" s="59"/>
      <c r="N15" s="60"/>
      <c r="O15" s="61"/>
      <c r="P15" s="60"/>
      <c r="Q15" s="62"/>
      <c r="R15" s="122"/>
      <c r="S15" s="63">
        <f t="shared" si="5"/>
        <v>1</v>
      </c>
      <c r="T15" s="123"/>
      <c r="U15" s="124"/>
      <c r="V15" s="125"/>
    </row>
    <row r="16" spans="1:22" s="126" customFormat="1" ht="18" customHeight="1">
      <c r="A16" s="51">
        <f t="shared" si="7"/>
        <v>7</v>
      </c>
      <c r="B16" s="128" t="str">
        <f>SERVIÇOS!C72</f>
        <v>FORRO</v>
      </c>
      <c r="C16" s="53">
        <f>SERVIÇOS!G72</f>
        <v>0</v>
      </c>
      <c r="D16" s="54" t="e">
        <f t="shared" si="2"/>
        <v>#DIV/0!</v>
      </c>
      <c r="E16" s="55">
        <f t="shared" si="0"/>
        <v>0</v>
      </c>
      <c r="F16" s="55">
        <f t="shared" si="6"/>
        <v>0</v>
      </c>
      <c r="G16" s="56">
        <v>0.2</v>
      </c>
      <c r="H16" s="57">
        <f t="shared" si="3"/>
        <v>0</v>
      </c>
      <c r="I16" s="56">
        <v>0.3</v>
      </c>
      <c r="J16" s="57">
        <f t="shared" si="4"/>
        <v>0</v>
      </c>
      <c r="K16" s="56">
        <v>0.5</v>
      </c>
      <c r="L16" s="58">
        <f t="shared" si="1"/>
        <v>0</v>
      </c>
      <c r="M16" s="59"/>
      <c r="N16" s="60"/>
      <c r="O16" s="61"/>
      <c r="P16" s="60"/>
      <c r="Q16" s="62"/>
      <c r="R16" s="122"/>
      <c r="S16" s="63">
        <f t="shared" si="5"/>
        <v>1</v>
      </c>
      <c r="T16" s="123"/>
      <c r="U16" s="124"/>
      <c r="V16" s="125"/>
    </row>
    <row r="17" spans="1:22" s="126" customFormat="1" ht="18" customHeight="1">
      <c r="A17" s="51">
        <f t="shared" si="7"/>
        <v>8</v>
      </c>
      <c r="B17" s="128" t="str">
        <f>SERVIÇOS!C79</f>
        <v>PINTURA INTERNA</v>
      </c>
      <c r="C17" s="53">
        <f>SERVIÇOS!G79</f>
        <v>0</v>
      </c>
      <c r="D17" s="54" t="e">
        <f t="shared" si="2"/>
        <v>#DIV/0!</v>
      </c>
      <c r="E17" s="55">
        <f t="shared" si="0"/>
        <v>0</v>
      </c>
      <c r="F17" s="55">
        <f t="shared" si="6"/>
        <v>0</v>
      </c>
      <c r="G17" s="56"/>
      <c r="H17" s="57">
        <f t="shared" si="3"/>
        <v>0</v>
      </c>
      <c r="I17" s="56">
        <f>G17</f>
        <v>0</v>
      </c>
      <c r="J17" s="57">
        <f t="shared" si="4"/>
        <v>0</v>
      </c>
      <c r="K17" s="56">
        <v>1</v>
      </c>
      <c r="L17" s="58">
        <f t="shared" si="1"/>
        <v>0</v>
      </c>
      <c r="M17" s="59"/>
      <c r="N17" s="60"/>
      <c r="O17" s="61"/>
      <c r="P17" s="60"/>
      <c r="Q17" s="62"/>
      <c r="R17" s="122"/>
      <c r="S17" s="63">
        <f t="shared" si="5"/>
        <v>1</v>
      </c>
      <c r="T17" s="123"/>
      <c r="U17" s="124"/>
      <c r="V17" s="125"/>
    </row>
    <row r="18" spans="1:22" s="126" customFormat="1" ht="18" customHeight="1">
      <c r="A18" s="51">
        <f t="shared" si="7"/>
        <v>9</v>
      </c>
      <c r="B18" s="128" t="str">
        <f>SERVIÇOS!C85</f>
        <v>ESQUADRIAS</v>
      </c>
      <c r="C18" s="53">
        <f>SERVIÇOS!G85</f>
        <v>0</v>
      </c>
      <c r="D18" s="54" t="e">
        <f t="shared" si="2"/>
        <v>#DIV/0!</v>
      </c>
      <c r="E18" s="55">
        <f t="shared" si="0"/>
        <v>0</v>
      </c>
      <c r="F18" s="55">
        <f t="shared" si="6"/>
        <v>0</v>
      </c>
      <c r="G18" s="56"/>
      <c r="H18" s="57">
        <f t="shared" si="3"/>
        <v>0</v>
      </c>
      <c r="I18" s="56">
        <v>0.6</v>
      </c>
      <c r="J18" s="57">
        <f t="shared" si="4"/>
        <v>0</v>
      </c>
      <c r="K18" s="56">
        <v>0.4</v>
      </c>
      <c r="L18" s="58">
        <f t="shared" si="1"/>
        <v>0</v>
      </c>
      <c r="M18" s="59"/>
      <c r="N18" s="60"/>
      <c r="O18" s="61"/>
      <c r="P18" s="60"/>
      <c r="Q18" s="62"/>
      <c r="R18" s="122"/>
      <c r="S18" s="63">
        <f t="shared" si="5"/>
        <v>1</v>
      </c>
      <c r="T18" s="123"/>
      <c r="U18" s="124"/>
      <c r="V18" s="125"/>
    </row>
    <row r="19" spans="1:22" s="126" customFormat="1" ht="18" customHeight="1">
      <c r="A19" s="51">
        <f t="shared" si="7"/>
        <v>10</v>
      </c>
      <c r="B19" s="128" t="str">
        <f>SERVIÇOS!C106</f>
        <v>LOUÇAS E METAIS</v>
      </c>
      <c r="C19" s="53">
        <f>SERVIÇOS!G106</f>
        <v>0</v>
      </c>
      <c r="D19" s="54" t="e">
        <f t="shared" si="2"/>
        <v>#DIV/0!</v>
      </c>
      <c r="E19" s="55">
        <f t="shared" si="0"/>
        <v>0</v>
      </c>
      <c r="F19" s="55">
        <f t="shared" ref="F19:F26" si="8">E19+C19</f>
        <v>0</v>
      </c>
      <c r="G19" s="56"/>
      <c r="H19" s="57">
        <f t="shared" si="3"/>
        <v>0</v>
      </c>
      <c r="I19" s="56">
        <f>G19</f>
        <v>0</v>
      </c>
      <c r="J19" s="57">
        <f t="shared" si="4"/>
        <v>0</v>
      </c>
      <c r="K19" s="56">
        <v>1</v>
      </c>
      <c r="L19" s="58">
        <f t="shared" si="1"/>
        <v>0</v>
      </c>
      <c r="M19" s="59"/>
      <c r="N19" s="60"/>
      <c r="O19" s="61"/>
      <c r="P19" s="60"/>
      <c r="Q19" s="62"/>
      <c r="R19" s="122"/>
      <c r="S19" s="63">
        <f t="shared" si="5"/>
        <v>1</v>
      </c>
      <c r="T19" s="123"/>
      <c r="U19" s="124"/>
      <c r="V19" s="125"/>
    </row>
    <row r="20" spans="1:22" s="126" customFormat="1" ht="18" customHeight="1">
      <c r="A20" s="51">
        <f t="shared" si="7"/>
        <v>11</v>
      </c>
      <c r="B20" s="128" t="str">
        <f>SERVIÇOS!C128</f>
        <v>INSTALAÇÕES HIDROSSANITÁRIAS</v>
      </c>
      <c r="C20" s="53">
        <f>SERVIÇOS!G128</f>
        <v>0</v>
      </c>
      <c r="D20" s="54" t="e">
        <f t="shared" si="2"/>
        <v>#DIV/0!</v>
      </c>
      <c r="E20" s="55">
        <f t="shared" si="0"/>
        <v>0</v>
      </c>
      <c r="F20" s="55">
        <f t="shared" si="8"/>
        <v>0</v>
      </c>
      <c r="G20" s="56"/>
      <c r="H20" s="57">
        <f t="shared" si="3"/>
        <v>0</v>
      </c>
      <c r="I20" s="56">
        <v>1</v>
      </c>
      <c r="J20" s="57">
        <f t="shared" si="4"/>
        <v>0</v>
      </c>
      <c r="K20" s="56"/>
      <c r="L20" s="58">
        <f t="shared" si="1"/>
        <v>0</v>
      </c>
      <c r="M20" s="59"/>
      <c r="N20" s="60"/>
      <c r="O20" s="61"/>
      <c r="P20" s="60"/>
      <c r="Q20" s="62"/>
      <c r="R20" s="122"/>
      <c r="S20" s="63">
        <f t="shared" si="5"/>
        <v>1</v>
      </c>
      <c r="T20" s="123"/>
      <c r="U20" s="124"/>
      <c r="V20" s="125"/>
    </row>
    <row r="21" spans="1:22" s="126" customFormat="1" ht="18" customHeight="1">
      <c r="A21" s="51">
        <f t="shared" si="7"/>
        <v>12</v>
      </c>
      <c r="B21" s="128" t="str">
        <f>SERVIÇOS!C135</f>
        <v>INSTALAÇÕES ELÉTRICAS</v>
      </c>
      <c r="C21" s="53">
        <f>SERVIÇOS!G135</f>
        <v>0</v>
      </c>
      <c r="D21" s="54" t="e">
        <f t="shared" si="2"/>
        <v>#DIV/0!</v>
      </c>
      <c r="E21" s="55">
        <f t="shared" si="0"/>
        <v>0</v>
      </c>
      <c r="F21" s="55">
        <f t="shared" si="8"/>
        <v>0</v>
      </c>
      <c r="G21" s="56">
        <v>0.3</v>
      </c>
      <c r="H21" s="57">
        <f t="shared" si="3"/>
        <v>0</v>
      </c>
      <c r="I21" s="56">
        <v>0.3</v>
      </c>
      <c r="J21" s="57">
        <f t="shared" si="4"/>
        <v>0</v>
      </c>
      <c r="K21" s="56">
        <v>0.4</v>
      </c>
      <c r="L21" s="58">
        <f t="shared" si="1"/>
        <v>0</v>
      </c>
      <c r="M21" s="59"/>
      <c r="N21" s="60"/>
      <c r="O21" s="61"/>
      <c r="P21" s="60"/>
      <c r="Q21" s="62"/>
      <c r="R21" s="122"/>
      <c r="S21" s="63">
        <f t="shared" si="5"/>
        <v>1</v>
      </c>
      <c r="T21" s="123"/>
      <c r="U21" s="124"/>
      <c r="V21" s="125"/>
    </row>
    <row r="22" spans="1:22" s="126" customFormat="1" ht="18" customHeight="1">
      <c r="A22" s="51">
        <f t="shared" si="7"/>
        <v>13</v>
      </c>
      <c r="B22" s="128" t="str">
        <f>SERVIÇOS!C162</f>
        <v>CLIMATIZAÇÃO</v>
      </c>
      <c r="C22" s="53">
        <f>SERVIÇOS!G162</f>
        <v>0</v>
      </c>
      <c r="D22" s="54" t="e">
        <f t="shared" si="2"/>
        <v>#DIV/0!</v>
      </c>
      <c r="E22" s="55">
        <f t="shared" si="0"/>
        <v>0</v>
      </c>
      <c r="F22" s="55">
        <f t="shared" si="8"/>
        <v>0</v>
      </c>
      <c r="G22" s="56"/>
      <c r="H22" s="57">
        <f t="shared" si="3"/>
        <v>0</v>
      </c>
      <c r="I22" s="56">
        <v>0.8</v>
      </c>
      <c r="J22" s="57">
        <f t="shared" si="4"/>
        <v>0</v>
      </c>
      <c r="K22" s="56">
        <v>0.2</v>
      </c>
      <c r="L22" s="58">
        <f t="shared" si="1"/>
        <v>0</v>
      </c>
      <c r="M22" s="59"/>
      <c r="N22" s="60"/>
      <c r="O22" s="61"/>
      <c r="P22" s="60"/>
      <c r="Q22" s="62"/>
      <c r="R22" s="122"/>
      <c r="S22" s="63">
        <f t="shared" si="5"/>
        <v>1</v>
      </c>
      <c r="T22" s="123"/>
      <c r="U22" s="124"/>
      <c r="V22" s="125"/>
    </row>
    <row r="23" spans="1:22" s="126" customFormat="1" ht="18" customHeight="1">
      <c r="A23" s="51">
        <f t="shared" si="7"/>
        <v>14</v>
      </c>
      <c r="B23" s="128" t="str">
        <f>SERVIÇOS!C173</f>
        <v>COBERTURA</v>
      </c>
      <c r="C23" s="53">
        <f>SERVIÇOS!G173</f>
        <v>0</v>
      </c>
      <c r="D23" s="54" t="e">
        <f t="shared" si="2"/>
        <v>#DIV/0!</v>
      </c>
      <c r="E23" s="55">
        <f t="shared" si="0"/>
        <v>0</v>
      </c>
      <c r="F23" s="55">
        <f t="shared" si="8"/>
        <v>0</v>
      </c>
      <c r="G23" s="56">
        <v>1</v>
      </c>
      <c r="H23" s="57">
        <f t="shared" si="3"/>
        <v>0</v>
      </c>
      <c r="I23" s="56"/>
      <c r="J23" s="57">
        <f t="shared" si="4"/>
        <v>0</v>
      </c>
      <c r="K23" s="56"/>
      <c r="L23" s="58">
        <f t="shared" si="1"/>
        <v>0</v>
      </c>
      <c r="M23" s="59"/>
      <c r="N23" s="60"/>
      <c r="O23" s="61"/>
      <c r="P23" s="60"/>
      <c r="Q23" s="62"/>
      <c r="R23" s="122"/>
      <c r="S23" s="63">
        <f t="shared" si="5"/>
        <v>1</v>
      </c>
      <c r="T23" s="123"/>
      <c r="U23" s="124"/>
      <c r="V23" s="125"/>
    </row>
    <row r="24" spans="1:22" s="126" customFormat="1" ht="18" customHeight="1">
      <c r="A24" s="51">
        <f t="shared" si="7"/>
        <v>15</v>
      </c>
      <c r="B24" s="128" t="str">
        <f>SERVIÇOS!C177</f>
        <v>CABEAMENTO ESTRUTURADO</v>
      </c>
      <c r="C24" s="53">
        <f>SERVIÇOS!G177</f>
        <v>0</v>
      </c>
      <c r="D24" s="54" t="e">
        <f t="shared" si="2"/>
        <v>#DIV/0!</v>
      </c>
      <c r="E24" s="55">
        <f t="shared" si="0"/>
        <v>0</v>
      </c>
      <c r="F24" s="55">
        <f t="shared" si="8"/>
        <v>0</v>
      </c>
      <c r="G24" s="56"/>
      <c r="H24" s="57">
        <f t="shared" si="3"/>
        <v>0</v>
      </c>
      <c r="I24" s="56">
        <v>1</v>
      </c>
      <c r="J24" s="57">
        <f t="shared" si="4"/>
        <v>0</v>
      </c>
      <c r="K24" s="56"/>
      <c r="L24" s="58">
        <f t="shared" si="1"/>
        <v>0</v>
      </c>
      <c r="M24" s="59"/>
      <c r="N24" s="60"/>
      <c r="O24" s="61"/>
      <c r="P24" s="60"/>
      <c r="Q24" s="62"/>
      <c r="R24" s="122"/>
      <c r="S24" s="63">
        <f t="shared" si="5"/>
        <v>1</v>
      </c>
      <c r="T24" s="123"/>
      <c r="U24" s="124"/>
      <c r="V24" s="125"/>
    </row>
    <row r="25" spans="1:22" s="126" customFormat="1" ht="18" customHeight="1">
      <c r="A25" s="51">
        <f t="shared" si="7"/>
        <v>16</v>
      </c>
      <c r="B25" s="127" t="str">
        <f>SERVIÇOS!C187</f>
        <v>SERVIÇOS COMPLEMENTARES</v>
      </c>
      <c r="C25" s="129">
        <f>SERVIÇOS!G187</f>
        <v>0</v>
      </c>
      <c r="D25" s="54" t="e">
        <f t="shared" si="2"/>
        <v>#DIV/0!</v>
      </c>
      <c r="E25" s="55">
        <f t="shared" si="0"/>
        <v>0</v>
      </c>
      <c r="F25" s="55">
        <f t="shared" si="8"/>
        <v>0</v>
      </c>
      <c r="G25" s="56">
        <v>1</v>
      </c>
      <c r="H25" s="57">
        <f t="shared" si="3"/>
        <v>0</v>
      </c>
      <c r="I25" s="56"/>
      <c r="J25" s="57">
        <f t="shared" si="4"/>
        <v>0</v>
      </c>
      <c r="K25" s="56"/>
      <c r="L25" s="58">
        <f t="shared" si="1"/>
        <v>0</v>
      </c>
      <c r="M25" s="59"/>
      <c r="N25" s="60"/>
      <c r="O25" s="61"/>
      <c r="P25" s="60"/>
      <c r="Q25" s="62"/>
      <c r="R25" s="122"/>
      <c r="S25" s="63">
        <f t="shared" si="5"/>
        <v>1</v>
      </c>
      <c r="T25" s="123"/>
      <c r="U25" s="124"/>
      <c r="V25" s="125"/>
    </row>
    <row r="26" spans="1:22" s="126" customFormat="1" ht="18" customHeight="1">
      <c r="A26" s="51">
        <f t="shared" si="7"/>
        <v>17</v>
      </c>
      <c r="B26" s="127" t="str">
        <f>SERVIÇOS!C193</f>
        <v>SERVIÇOS FINAIS E DESMOBILIZAÇÃO</v>
      </c>
      <c r="C26" s="129">
        <f>SERVIÇOS!G193</f>
        <v>0</v>
      </c>
      <c r="D26" s="54" t="e">
        <f t="shared" si="2"/>
        <v>#DIV/0!</v>
      </c>
      <c r="E26" s="55">
        <f t="shared" si="0"/>
        <v>0</v>
      </c>
      <c r="F26" s="55">
        <f t="shared" si="8"/>
        <v>0</v>
      </c>
      <c r="G26" s="56"/>
      <c r="H26" s="57">
        <f t="shared" si="3"/>
        <v>0</v>
      </c>
      <c r="I26" s="56">
        <f>G26</f>
        <v>0</v>
      </c>
      <c r="J26" s="57">
        <f t="shared" si="4"/>
        <v>0</v>
      </c>
      <c r="K26" s="56">
        <v>1</v>
      </c>
      <c r="L26" s="58">
        <f t="shared" si="1"/>
        <v>0</v>
      </c>
      <c r="M26" s="59"/>
      <c r="N26" s="60"/>
      <c r="O26" s="61"/>
      <c r="P26" s="60"/>
      <c r="Q26" s="62"/>
      <c r="R26" s="122"/>
      <c r="S26" s="63">
        <f t="shared" si="5"/>
        <v>1</v>
      </c>
      <c r="T26" s="123"/>
      <c r="U26" s="124"/>
      <c r="V26" s="125"/>
    </row>
    <row r="27" spans="1:22" s="126" customFormat="1" ht="18" customHeight="1">
      <c r="A27" s="64"/>
      <c r="B27" s="130" t="s">
        <v>42</v>
      </c>
      <c r="C27" s="131">
        <f>SUM(C11:C26)</f>
        <v>0</v>
      </c>
      <c r="D27" s="132" t="e">
        <f>SUM(D11:D26)</f>
        <v>#DIV/0!</v>
      </c>
      <c r="E27" s="131">
        <f>SUM(E11:E26)</f>
        <v>0</v>
      </c>
      <c r="F27" s="131">
        <f>SUM(F11:F26)</f>
        <v>0</v>
      </c>
      <c r="G27" s="133" t="e">
        <f>H27/F27</f>
        <v>#DIV/0!</v>
      </c>
      <c r="H27" s="131">
        <f>SUM(H11:H26)</f>
        <v>0</v>
      </c>
      <c r="I27" s="133" t="e">
        <f>J27/$F$27</f>
        <v>#DIV/0!</v>
      </c>
      <c r="J27" s="131">
        <f>SUM(J11:J26)</f>
        <v>0</v>
      </c>
      <c r="K27" s="133" t="e">
        <f>L27/$F$27</f>
        <v>#DIV/0!</v>
      </c>
      <c r="L27" s="134">
        <f>SUM(L11:L26)</f>
        <v>0</v>
      </c>
      <c r="M27" s="59"/>
      <c r="N27" s="60"/>
      <c r="O27" s="61"/>
      <c r="P27" s="60"/>
      <c r="Q27" s="62"/>
      <c r="R27" s="122"/>
      <c r="S27" s="63" t="e">
        <f t="shared" si="5"/>
        <v>#DIV/0!</v>
      </c>
      <c r="T27" s="123"/>
      <c r="U27" s="124"/>
      <c r="V27" s="125"/>
    </row>
    <row r="28" spans="1:22" s="126" customFormat="1" ht="30" customHeight="1" thickBot="1">
      <c r="A28" s="527"/>
      <c r="B28" s="528"/>
      <c r="C28" s="529"/>
      <c r="D28" s="530"/>
      <c r="E28" s="531"/>
      <c r="F28" s="531"/>
      <c r="G28" s="532"/>
      <c r="H28" s="533"/>
      <c r="I28" s="532"/>
      <c r="J28" s="533"/>
      <c r="K28" s="532"/>
      <c r="L28" s="534"/>
      <c r="M28" s="59"/>
      <c r="N28" s="60"/>
      <c r="O28" s="61"/>
      <c r="P28" s="60"/>
      <c r="Q28" s="62"/>
      <c r="R28" s="122"/>
      <c r="S28" s="63">
        <f t="shared" si="5"/>
        <v>0</v>
      </c>
      <c r="T28" s="123"/>
      <c r="U28" s="124"/>
      <c r="V28" s="125"/>
    </row>
    <row r="29" spans="1:22" s="126" customFormat="1" ht="14.1" customHeight="1">
      <c r="A29" s="670" t="s">
        <v>29</v>
      </c>
      <c r="B29" s="672" t="s">
        <v>30</v>
      </c>
      <c r="C29" s="674" t="s">
        <v>31</v>
      </c>
      <c r="D29" s="676" t="s">
        <v>0</v>
      </c>
      <c r="E29" s="674" t="s">
        <v>32</v>
      </c>
      <c r="F29" s="666" t="s">
        <v>749</v>
      </c>
      <c r="G29" s="665" t="str">
        <f>G9</f>
        <v>30 Dias</v>
      </c>
      <c r="H29" s="665"/>
      <c r="I29" s="665" t="str">
        <f>I9</f>
        <v>60 Dias</v>
      </c>
      <c r="J29" s="665"/>
      <c r="K29" s="665" t="str">
        <f>K9</f>
        <v>90 Dias</v>
      </c>
      <c r="L29" s="678"/>
      <c r="M29" s="59"/>
      <c r="N29" s="60"/>
      <c r="O29" s="61"/>
      <c r="P29" s="60"/>
      <c r="Q29" s="62"/>
      <c r="R29" s="122"/>
      <c r="S29" s="63"/>
      <c r="T29" s="123"/>
      <c r="U29" s="124"/>
      <c r="V29" s="125"/>
    </row>
    <row r="30" spans="1:22" s="126" customFormat="1" ht="14.1" customHeight="1" thickBot="1">
      <c r="A30" s="671"/>
      <c r="B30" s="673"/>
      <c r="C30" s="675"/>
      <c r="D30" s="677"/>
      <c r="E30" s="675"/>
      <c r="F30" s="667"/>
      <c r="G30" s="563" t="s">
        <v>0</v>
      </c>
      <c r="H30" s="563" t="s">
        <v>36</v>
      </c>
      <c r="I30" s="563" t="s">
        <v>0</v>
      </c>
      <c r="J30" s="563" t="s">
        <v>36</v>
      </c>
      <c r="K30" s="564" t="s">
        <v>0</v>
      </c>
      <c r="L30" s="565" t="s">
        <v>36</v>
      </c>
      <c r="M30" s="59"/>
      <c r="N30" s="60"/>
      <c r="O30" s="61"/>
      <c r="P30" s="60"/>
      <c r="Q30" s="62"/>
      <c r="R30" s="122"/>
      <c r="S30" s="63"/>
      <c r="T30" s="123"/>
      <c r="U30" s="124"/>
      <c r="V30" s="124"/>
    </row>
    <row r="31" spans="1:22" s="126" customFormat="1" ht="18" customHeight="1">
      <c r="A31" s="556">
        <v>2</v>
      </c>
      <c r="B31" s="557" t="str">
        <f>SERVIÇOS!C14</f>
        <v xml:space="preserve">ADMINISTRAÇÃO LOCAL </v>
      </c>
      <c r="C31" s="558">
        <f>SERVIÇOS!G14</f>
        <v>0</v>
      </c>
      <c r="D31" s="559" t="e">
        <f>F31/G7</f>
        <v>#DIV/0!</v>
      </c>
      <c r="E31" s="560">
        <f>C31*$S$7</f>
        <v>0</v>
      </c>
      <c r="F31" s="560">
        <f>E31+C31</f>
        <v>0</v>
      </c>
      <c r="G31" s="559" t="e">
        <f>G27</f>
        <v>#DIV/0!</v>
      </c>
      <c r="H31" s="561" t="e">
        <f>G31*$F$31</f>
        <v>#DIV/0!</v>
      </c>
      <c r="I31" s="559" t="e">
        <f>I27</f>
        <v>#DIV/0!</v>
      </c>
      <c r="J31" s="561" t="e">
        <f>I31*$F$31</f>
        <v>#DIV/0!</v>
      </c>
      <c r="K31" s="559" t="e">
        <f>K27</f>
        <v>#DIV/0!</v>
      </c>
      <c r="L31" s="562" t="e">
        <f>K31*$F$31</f>
        <v>#DIV/0!</v>
      </c>
      <c r="M31" s="59"/>
      <c r="N31" s="60"/>
      <c r="O31" s="61"/>
      <c r="P31" s="60"/>
      <c r="Q31" s="62"/>
      <c r="R31" s="122"/>
      <c r="S31" s="63" t="e">
        <f t="shared" si="5"/>
        <v>#DIV/0!</v>
      </c>
      <c r="T31" s="123"/>
      <c r="U31" s="124"/>
      <c r="V31" s="125"/>
    </row>
    <row r="32" spans="1:22" s="126" customFormat="1" ht="30" customHeight="1" thickBot="1">
      <c r="A32" s="527"/>
      <c r="B32" s="528"/>
      <c r="C32" s="529"/>
      <c r="D32" s="530"/>
      <c r="E32" s="531"/>
      <c r="F32" s="531"/>
      <c r="G32" s="532"/>
      <c r="H32" s="533"/>
      <c r="I32" s="532"/>
      <c r="J32" s="533"/>
      <c r="K32" s="532"/>
      <c r="L32" s="534"/>
      <c r="M32" s="59"/>
      <c r="N32" s="60"/>
      <c r="O32" s="61"/>
      <c r="P32" s="60"/>
      <c r="Q32" s="62"/>
      <c r="R32" s="122"/>
      <c r="S32" s="63">
        <f t="shared" si="5"/>
        <v>0</v>
      </c>
      <c r="T32" s="123"/>
      <c r="U32" s="124"/>
      <c r="V32" s="125"/>
    </row>
    <row r="33" spans="1:22" s="126" customFormat="1" ht="18" customHeight="1" thickBot="1">
      <c r="A33" s="550"/>
      <c r="B33" s="551" t="s">
        <v>43</v>
      </c>
      <c r="C33" s="552">
        <f>C31</f>
        <v>0</v>
      </c>
      <c r="D33" s="553" t="e">
        <f>D31</f>
        <v>#DIV/0!</v>
      </c>
      <c r="E33" s="552">
        <f>E31</f>
        <v>0</v>
      </c>
      <c r="F33" s="552">
        <f>E33+C33</f>
        <v>0</v>
      </c>
      <c r="G33" s="554" t="e">
        <f>H33/$F$33</f>
        <v>#DIV/0!</v>
      </c>
      <c r="H33" s="552" t="e">
        <f>H31</f>
        <v>#DIV/0!</v>
      </c>
      <c r="I33" s="554" t="e">
        <f>I31</f>
        <v>#DIV/0!</v>
      </c>
      <c r="J33" s="552" t="e">
        <f>J31</f>
        <v>#DIV/0!</v>
      </c>
      <c r="K33" s="554" t="e">
        <f>K31</f>
        <v>#DIV/0!</v>
      </c>
      <c r="L33" s="555" t="e">
        <f>L31</f>
        <v>#DIV/0!</v>
      </c>
      <c r="M33" s="59"/>
      <c r="N33" s="60"/>
      <c r="O33" s="61"/>
      <c r="P33" s="60"/>
      <c r="Q33" s="62"/>
      <c r="R33" s="122"/>
      <c r="S33" s="63" t="e">
        <f t="shared" si="5"/>
        <v>#DIV/0!</v>
      </c>
      <c r="T33" s="123"/>
      <c r="U33" s="124"/>
      <c r="V33" s="125"/>
    </row>
    <row r="34" spans="1:22" s="126" customFormat="1" ht="30" customHeight="1" thickBot="1">
      <c r="A34" s="542"/>
      <c r="B34" s="543"/>
      <c r="C34" s="544"/>
      <c r="D34" s="545"/>
      <c r="E34" s="546"/>
      <c r="F34" s="546"/>
      <c r="G34" s="547"/>
      <c r="H34" s="548"/>
      <c r="I34" s="547"/>
      <c r="J34" s="548"/>
      <c r="K34" s="547"/>
      <c r="L34" s="549"/>
      <c r="M34" s="59"/>
      <c r="N34" s="60"/>
      <c r="O34" s="61"/>
      <c r="P34" s="60"/>
      <c r="Q34" s="62"/>
      <c r="R34" s="122"/>
      <c r="S34" s="63"/>
      <c r="T34" s="123"/>
      <c r="U34" s="124"/>
      <c r="V34" s="125"/>
    </row>
    <row r="35" spans="1:22" s="138" customFormat="1" ht="20.25" thickBot="1">
      <c r="A35" s="535"/>
      <c r="B35" s="324" t="s">
        <v>37</v>
      </c>
      <c r="C35" s="325">
        <f>C33+C27</f>
        <v>0</v>
      </c>
      <c r="D35" s="536" t="e">
        <f>D27+D33</f>
        <v>#DIV/0!</v>
      </c>
      <c r="E35" s="537">
        <f>E33+E27</f>
        <v>0</v>
      </c>
      <c r="F35" s="538">
        <f>F33+F27</f>
        <v>0</v>
      </c>
      <c r="G35" s="539" t="e">
        <f>H35/F35</f>
        <v>#DIV/0!</v>
      </c>
      <c r="H35" s="540" t="e">
        <f>H33+H27</f>
        <v>#DIV/0!</v>
      </c>
      <c r="I35" s="539" t="e">
        <f>J35/F35</f>
        <v>#DIV/0!</v>
      </c>
      <c r="J35" s="540" t="e">
        <f>J33+J27</f>
        <v>#DIV/0!</v>
      </c>
      <c r="K35" s="539" t="e">
        <f>L35/F35</f>
        <v>#DIV/0!</v>
      </c>
      <c r="L35" s="541" t="e">
        <f>L33+L27</f>
        <v>#DIV/0!</v>
      </c>
      <c r="M35" s="135"/>
      <c r="N35" s="65"/>
      <c r="O35" s="136"/>
      <c r="P35" s="65"/>
      <c r="Q35" s="137"/>
      <c r="R35" s="122"/>
      <c r="S35" s="66"/>
      <c r="T35" s="123"/>
      <c r="U35" s="124"/>
      <c r="V35" s="125"/>
    </row>
    <row r="36" spans="1:22" s="126" customFormat="1" ht="24.95" customHeight="1" thickBot="1">
      <c r="A36" s="323"/>
      <c r="B36" s="324" t="s">
        <v>38</v>
      </c>
      <c r="C36" s="325"/>
      <c r="D36" s="325"/>
      <c r="E36" s="326"/>
      <c r="F36" s="327"/>
      <c r="G36" s="328" t="e">
        <f>G35</f>
        <v>#DIV/0!</v>
      </c>
      <c r="H36" s="526" t="e">
        <f>H35</f>
        <v>#DIV/0!</v>
      </c>
      <c r="I36" s="328" t="e">
        <f>G36+I35</f>
        <v>#DIV/0!</v>
      </c>
      <c r="J36" s="526" t="e">
        <f>H36+J35</f>
        <v>#DIV/0!</v>
      </c>
      <c r="K36" s="328" t="e">
        <f>K35+I36</f>
        <v>#DIV/0!</v>
      </c>
      <c r="L36" s="329" t="e">
        <f>L35+J36</f>
        <v>#DIV/0!</v>
      </c>
      <c r="M36" s="67"/>
      <c r="N36" s="139"/>
      <c r="O36" s="68"/>
      <c r="P36" s="139"/>
      <c r="Q36" s="69"/>
      <c r="R36" s="140"/>
      <c r="S36" s="141" t="e">
        <f>L36-G7</f>
        <v>#DIV/0!</v>
      </c>
      <c r="T36" s="123"/>
      <c r="U36" s="124"/>
      <c r="V36" s="125"/>
    </row>
    <row r="37" spans="1:22" s="126" customFormat="1" ht="15">
      <c r="A37" s="142"/>
      <c r="B37" s="143"/>
      <c r="C37" s="70"/>
      <c r="D37" s="70"/>
      <c r="E37" s="71"/>
      <c r="F37" s="72"/>
      <c r="G37" s="143"/>
      <c r="H37" s="144"/>
      <c r="I37" s="144"/>
      <c r="J37" s="144"/>
      <c r="K37" s="145"/>
      <c r="L37" s="146"/>
      <c r="M37" s="105"/>
      <c r="N37" s="105"/>
      <c r="O37" s="105"/>
      <c r="P37" s="105"/>
      <c r="Q37" s="107"/>
      <c r="S37" s="147" t="e">
        <f>L36-F35</f>
        <v>#DIV/0!</v>
      </c>
      <c r="T37" s="123"/>
      <c r="U37" s="124"/>
      <c r="V37" s="125"/>
    </row>
    <row r="38" spans="1:22" ht="13.5">
      <c r="A38" s="142"/>
      <c r="B38" s="143"/>
      <c r="C38" s="70"/>
      <c r="D38" s="70"/>
      <c r="E38" s="71"/>
      <c r="F38" s="72"/>
      <c r="G38" s="143"/>
      <c r="H38" s="143"/>
      <c r="I38" s="143"/>
      <c r="J38" s="143"/>
      <c r="K38" s="145"/>
      <c r="L38" s="146"/>
    </row>
    <row r="39" spans="1:22" ht="13.5">
      <c r="A39" s="142"/>
      <c r="B39" s="143"/>
      <c r="C39" s="70"/>
      <c r="D39" s="70"/>
      <c r="E39" s="71"/>
      <c r="F39" s="72"/>
      <c r="G39" s="143"/>
      <c r="H39" s="143"/>
      <c r="I39" s="143"/>
      <c r="J39" s="143"/>
      <c r="K39" s="145"/>
      <c r="L39" s="146"/>
    </row>
    <row r="40" spans="1:22" ht="13.5">
      <c r="A40" s="142"/>
      <c r="B40" s="143"/>
      <c r="C40" s="70"/>
      <c r="D40" s="70"/>
      <c r="E40" s="71"/>
      <c r="F40" s="72"/>
      <c r="G40" s="143"/>
      <c r="H40" s="148"/>
      <c r="I40" s="148"/>
      <c r="J40" s="148"/>
      <c r="K40" s="149"/>
      <c r="L40" s="150"/>
    </row>
    <row r="41" spans="1:22" ht="13.5">
      <c r="A41" s="142"/>
      <c r="B41" s="143"/>
      <c r="C41" s="70"/>
      <c r="D41" s="70"/>
      <c r="E41" s="71"/>
      <c r="F41" s="72"/>
      <c r="G41" s="143"/>
      <c r="H41" s="148"/>
      <c r="I41" s="148"/>
      <c r="J41" s="148"/>
      <c r="K41" s="149"/>
      <c r="L41" s="150"/>
    </row>
    <row r="42" spans="1:22" ht="13.5">
      <c r="A42" s="142"/>
      <c r="B42" s="143"/>
      <c r="C42" s="70"/>
      <c r="D42" s="70"/>
      <c r="E42" s="71"/>
      <c r="F42" s="72"/>
      <c r="G42" s="143"/>
      <c r="H42" s="148"/>
      <c r="I42" s="148"/>
      <c r="J42" s="148"/>
      <c r="K42" s="149"/>
      <c r="L42" s="150"/>
    </row>
    <row r="43" spans="1:22" ht="13.5">
      <c r="A43" s="142"/>
      <c r="B43" s="143"/>
      <c r="C43" s="70"/>
      <c r="D43" s="70"/>
      <c r="E43" s="71"/>
      <c r="F43" s="72"/>
      <c r="G43" s="143"/>
      <c r="H43" s="148"/>
      <c r="I43" s="148"/>
      <c r="J43" s="148"/>
      <c r="K43" s="149"/>
      <c r="L43" s="150"/>
    </row>
    <row r="44" spans="1:22" ht="13.5">
      <c r="A44" s="142"/>
      <c r="B44" s="143"/>
      <c r="C44" s="70"/>
      <c r="D44" s="70"/>
      <c r="E44" s="71"/>
      <c r="F44" s="97"/>
      <c r="G44" s="143"/>
      <c r="H44" s="148"/>
      <c r="I44" s="148"/>
      <c r="J44" s="151"/>
      <c r="K44" s="149"/>
      <c r="L44" s="152"/>
    </row>
    <row r="45" spans="1:22" ht="13.5">
      <c r="A45" s="142"/>
      <c r="B45" s="143"/>
      <c r="C45" s="70"/>
      <c r="D45" s="70"/>
      <c r="E45" s="71"/>
      <c r="F45" s="72"/>
      <c r="G45" s="143"/>
      <c r="H45" s="151"/>
      <c r="I45" s="148"/>
      <c r="J45" s="148"/>
      <c r="K45" s="149"/>
      <c r="L45" s="150"/>
    </row>
    <row r="46" spans="1:22" ht="13.5">
      <c r="A46" s="142"/>
      <c r="B46" s="143"/>
      <c r="C46" s="70"/>
      <c r="D46" s="70"/>
      <c r="E46" s="71"/>
      <c r="F46" s="72"/>
      <c r="G46" s="143"/>
      <c r="H46" s="143"/>
      <c r="I46" s="143"/>
      <c r="J46" s="143"/>
      <c r="K46" s="145"/>
      <c r="L46" s="146"/>
    </row>
    <row r="47" spans="1:22" ht="13.5">
      <c r="A47" s="142"/>
      <c r="B47" s="143"/>
      <c r="C47" s="70"/>
      <c r="D47" s="70"/>
      <c r="E47" s="71"/>
      <c r="F47" s="72"/>
      <c r="G47" s="143"/>
      <c r="H47" s="143"/>
      <c r="I47" s="143"/>
      <c r="J47" s="143"/>
      <c r="K47" s="145"/>
      <c r="L47" s="146"/>
    </row>
    <row r="48" spans="1:22" ht="13.5">
      <c r="A48" s="142"/>
      <c r="B48" s="143"/>
      <c r="C48" s="70"/>
      <c r="D48" s="70"/>
      <c r="E48" s="71"/>
      <c r="F48" s="72"/>
      <c r="G48" s="143"/>
      <c r="H48" s="143"/>
      <c r="I48" s="143"/>
      <c r="J48" s="143"/>
      <c r="K48" s="145"/>
      <c r="L48" s="146"/>
    </row>
    <row r="49" spans="1:12" ht="13.5">
      <c r="A49" s="142"/>
      <c r="B49" s="143"/>
      <c r="C49" s="70"/>
      <c r="D49" s="70"/>
      <c r="E49" s="71"/>
      <c r="F49" s="72"/>
      <c r="G49" s="143"/>
      <c r="H49" s="143"/>
      <c r="I49" s="143"/>
      <c r="J49" s="143"/>
      <c r="K49" s="145"/>
      <c r="L49" s="146"/>
    </row>
    <row r="50" spans="1:12" ht="13.5">
      <c r="A50" s="142"/>
      <c r="B50" s="143"/>
      <c r="C50" s="70"/>
      <c r="D50" s="70"/>
      <c r="E50" s="71"/>
      <c r="F50" s="72"/>
      <c r="G50" s="143"/>
      <c r="H50" s="143"/>
      <c r="I50" s="143"/>
      <c r="J50" s="143"/>
      <c r="K50" s="145"/>
      <c r="L50" s="146"/>
    </row>
    <row r="51" spans="1:12" ht="13.5">
      <c r="A51" s="142"/>
      <c r="B51" s="143"/>
      <c r="C51" s="70"/>
      <c r="D51" s="70"/>
      <c r="E51" s="71"/>
      <c r="F51" s="72"/>
      <c r="G51" s="143"/>
      <c r="H51" s="143"/>
      <c r="I51" s="143"/>
      <c r="J51" s="143"/>
      <c r="K51" s="145"/>
      <c r="L51" s="146"/>
    </row>
    <row r="52" spans="1:12" ht="13.5">
      <c r="A52" s="142"/>
      <c r="B52" s="143"/>
      <c r="C52" s="70"/>
      <c r="D52" s="70"/>
      <c r="E52" s="71"/>
      <c r="F52" s="72"/>
      <c r="G52" s="143"/>
      <c r="H52" s="143"/>
      <c r="I52" s="143"/>
      <c r="J52" s="143"/>
      <c r="K52" s="145"/>
      <c r="L52" s="146"/>
    </row>
    <row r="53" spans="1:12" ht="13.5">
      <c r="A53" s="142"/>
      <c r="B53" s="143"/>
      <c r="C53" s="70"/>
      <c r="D53" s="70"/>
      <c r="E53" s="71"/>
      <c r="F53" s="72"/>
      <c r="G53" s="143"/>
      <c r="H53" s="143"/>
      <c r="I53" s="143"/>
      <c r="J53" s="143"/>
      <c r="K53" s="145"/>
      <c r="L53" s="146"/>
    </row>
    <row r="54" spans="1:12" ht="13.5">
      <c r="A54" s="142"/>
      <c r="B54" s="143"/>
      <c r="C54" s="70"/>
      <c r="D54" s="70"/>
      <c r="E54" s="71"/>
      <c r="F54" s="72"/>
      <c r="G54" s="143"/>
      <c r="H54" s="143"/>
      <c r="I54" s="143"/>
      <c r="J54" s="143"/>
      <c r="K54" s="145"/>
      <c r="L54" s="146"/>
    </row>
    <row r="55" spans="1:12" ht="13.5">
      <c r="A55" s="142"/>
      <c r="B55" s="143"/>
      <c r="C55" s="70"/>
      <c r="D55" s="70"/>
      <c r="E55" s="71"/>
      <c r="F55" s="72"/>
      <c r="G55" s="143"/>
      <c r="H55" s="143"/>
      <c r="I55" s="143"/>
      <c r="J55" s="143"/>
      <c r="K55" s="145"/>
      <c r="L55" s="146"/>
    </row>
    <row r="56" spans="1:12" ht="13.5">
      <c r="A56" s="142"/>
      <c r="B56" s="143"/>
      <c r="C56" s="70"/>
      <c r="D56" s="70"/>
      <c r="E56" s="71"/>
      <c r="F56" s="72"/>
      <c r="G56" s="143"/>
      <c r="H56" s="143"/>
      <c r="I56" s="143"/>
      <c r="J56" s="143"/>
      <c r="K56" s="145"/>
      <c r="L56" s="146"/>
    </row>
    <row r="57" spans="1:12" ht="13.5">
      <c r="A57" s="142"/>
      <c r="B57" s="143"/>
      <c r="C57" s="70"/>
      <c r="D57" s="70"/>
      <c r="E57" s="71"/>
      <c r="F57" s="72"/>
      <c r="G57" s="143"/>
      <c r="H57" s="143"/>
      <c r="I57" s="143"/>
      <c r="J57" s="143"/>
      <c r="K57" s="145"/>
      <c r="L57" s="146"/>
    </row>
    <row r="58" spans="1:12" ht="13.5">
      <c r="A58" s="142"/>
      <c r="B58" s="143"/>
      <c r="C58" s="70"/>
      <c r="D58" s="70"/>
      <c r="E58" s="71"/>
      <c r="F58" s="72"/>
      <c r="G58" s="143"/>
      <c r="H58" s="143"/>
      <c r="I58" s="143"/>
      <c r="J58" s="143"/>
      <c r="K58" s="145"/>
      <c r="L58" s="146"/>
    </row>
    <row r="59" spans="1:12" ht="13.5">
      <c r="A59" s="142"/>
      <c r="B59" s="143"/>
      <c r="C59" s="70"/>
      <c r="D59" s="70"/>
      <c r="E59" s="71"/>
      <c r="F59" s="72"/>
      <c r="G59" s="143"/>
      <c r="H59" s="143"/>
      <c r="I59" s="143"/>
      <c r="J59" s="143"/>
      <c r="K59" s="145"/>
      <c r="L59" s="146"/>
    </row>
    <row r="60" spans="1:12" ht="14.25" thickBot="1">
      <c r="A60" s="153"/>
      <c r="B60" s="154"/>
      <c r="C60" s="79"/>
      <c r="D60" s="79"/>
      <c r="E60" s="80"/>
      <c r="F60" s="81"/>
      <c r="G60" s="154"/>
      <c r="H60" s="154"/>
      <c r="I60" s="154"/>
      <c r="J60" s="154"/>
      <c r="K60" s="155"/>
      <c r="L60" s="156"/>
    </row>
    <row r="61" spans="1:12" ht="13.5">
      <c r="A61" s="157"/>
      <c r="B61" s="158"/>
      <c r="C61" s="73"/>
      <c r="D61" s="73"/>
      <c r="E61" s="74"/>
      <c r="F61" s="75"/>
      <c r="G61" s="158"/>
      <c r="H61" s="158"/>
      <c r="I61" s="158"/>
      <c r="J61" s="158"/>
      <c r="K61" s="159"/>
      <c r="L61" s="158"/>
    </row>
    <row r="62" spans="1:12" ht="13.5">
      <c r="A62" s="157"/>
      <c r="B62" s="158"/>
      <c r="C62" s="73"/>
      <c r="D62" s="73"/>
      <c r="E62" s="74"/>
      <c r="F62" s="75"/>
      <c r="G62" s="158"/>
      <c r="H62" s="158"/>
      <c r="I62" s="158"/>
      <c r="J62" s="158"/>
      <c r="K62" s="159"/>
      <c r="L62" s="158"/>
    </row>
    <row r="63" spans="1:12" ht="13.5">
      <c r="A63" s="157"/>
      <c r="B63" s="158"/>
      <c r="C63" s="73"/>
      <c r="D63" s="73"/>
      <c r="E63" s="74"/>
      <c r="F63" s="75"/>
      <c r="G63" s="158"/>
      <c r="H63" s="158"/>
      <c r="I63" s="158"/>
      <c r="J63" s="158"/>
      <c r="K63" s="159"/>
      <c r="L63" s="158"/>
    </row>
    <row r="64" spans="1:12" ht="14.25" thickBot="1">
      <c r="A64" s="157"/>
      <c r="B64" s="158"/>
      <c r="C64" s="73"/>
      <c r="D64" s="73"/>
      <c r="E64" s="74"/>
      <c r="F64" s="75"/>
      <c r="G64" s="158"/>
      <c r="H64" s="158"/>
      <c r="I64" s="158"/>
      <c r="J64" s="158"/>
      <c r="K64" s="159"/>
      <c r="L64" s="158"/>
    </row>
    <row r="65" spans="1:12" ht="30">
      <c r="A65" s="653" t="s">
        <v>812</v>
      </c>
      <c r="B65" s="654"/>
      <c r="C65" s="654"/>
      <c r="D65" s="654"/>
      <c r="E65" s="654"/>
      <c r="F65" s="45"/>
      <c r="G65" s="46"/>
      <c r="H65" s="100"/>
      <c r="I65" s="100"/>
      <c r="J65" s="100"/>
      <c r="K65" s="101"/>
      <c r="L65" s="102"/>
    </row>
    <row r="66" spans="1:12" ht="25.5">
      <c r="A66" s="655"/>
      <c r="B66" s="656"/>
      <c r="C66" s="656"/>
      <c r="D66" s="656"/>
      <c r="E66" s="656"/>
      <c r="F66" s="47"/>
      <c r="G66" s="48"/>
      <c r="H66" s="105"/>
      <c r="I66" s="105"/>
      <c r="J66" s="105"/>
      <c r="K66" s="106"/>
      <c r="L66" s="107"/>
    </row>
    <row r="67" spans="1:12" ht="23.25">
      <c r="A67" s="657">
        <f>A3</f>
        <v>0</v>
      </c>
      <c r="B67" s="658"/>
      <c r="C67" s="658"/>
      <c r="D67" s="658"/>
      <c r="E67" s="658"/>
      <c r="F67" s="47"/>
      <c r="G67" s="48"/>
      <c r="H67" s="105"/>
      <c r="I67" s="105"/>
      <c r="J67" s="105"/>
      <c r="K67" s="106"/>
      <c r="L67" s="107"/>
    </row>
    <row r="68" spans="1:12" ht="20.25">
      <c r="A68" s="108" t="s">
        <v>5</v>
      </c>
      <c r="B68" s="29"/>
      <c r="C68" s="30"/>
      <c r="D68" s="99"/>
      <c r="E68" s="662" t="s">
        <v>7</v>
      </c>
      <c r="F68" s="662"/>
      <c r="G68" s="48"/>
      <c r="H68" s="105"/>
      <c r="I68" s="105"/>
      <c r="J68" s="105"/>
      <c r="K68" s="106"/>
      <c r="L68" s="107"/>
    </row>
    <row r="69" spans="1:12" ht="20.25">
      <c r="A69" s="160" t="str">
        <f>A5</f>
        <v>Construção da Coordenadoria de Tecnologias Educacionais da SEAD</v>
      </c>
      <c r="B69" s="161"/>
      <c r="C69" s="161"/>
      <c r="D69" s="161"/>
      <c r="E69" s="659" t="str">
        <f>E5</f>
        <v>SETEMBRO/2017</v>
      </c>
      <c r="F69" s="659"/>
      <c r="G69" s="48"/>
      <c r="H69" s="105"/>
      <c r="I69" s="105"/>
      <c r="J69" s="105"/>
      <c r="K69" s="106"/>
      <c r="L69" s="107"/>
    </row>
    <row r="70" spans="1:12" ht="15.75" customHeight="1">
      <c r="A70" s="663" t="s">
        <v>6</v>
      </c>
      <c r="B70" s="662"/>
      <c r="C70" s="30"/>
      <c r="D70" s="49"/>
      <c r="E70" s="662" t="s">
        <v>24</v>
      </c>
      <c r="F70" s="662"/>
      <c r="G70" s="664" t="s">
        <v>25</v>
      </c>
      <c r="H70" s="664"/>
      <c r="I70" s="105"/>
      <c r="J70" s="474" t="s">
        <v>26</v>
      </c>
      <c r="K70" s="106"/>
      <c r="L70" s="107"/>
    </row>
    <row r="71" spans="1:12" ht="21" thickBot="1">
      <c r="A71" s="160" t="str">
        <f>A7</f>
        <v>Campus da Federação Universidade Federal da Bahia, Salvador - Bahia</v>
      </c>
      <c r="B71" s="161"/>
      <c r="C71" s="330"/>
      <c r="D71" s="335"/>
      <c r="E71" s="652">
        <f>E7</f>
        <v>97.449999999999989</v>
      </c>
      <c r="F71" s="652"/>
      <c r="G71" s="652">
        <f>G7</f>
        <v>0</v>
      </c>
      <c r="H71" s="652"/>
      <c r="I71" s="105"/>
      <c r="J71" s="475">
        <f>G71/E71</f>
        <v>0</v>
      </c>
      <c r="K71" s="106"/>
      <c r="L71" s="107"/>
    </row>
    <row r="72" spans="1:12" ht="14.25" thickBot="1">
      <c r="A72" s="336"/>
      <c r="B72" s="337"/>
      <c r="C72" s="338"/>
      <c r="D72" s="338"/>
      <c r="E72" s="339"/>
      <c r="F72" s="340"/>
      <c r="G72" s="337"/>
      <c r="H72" s="337"/>
      <c r="I72" s="337"/>
      <c r="J72" s="337"/>
      <c r="K72" s="341"/>
      <c r="L72" s="342"/>
    </row>
    <row r="73" spans="1:12" ht="13.5">
      <c r="A73" s="162"/>
      <c r="B73" s="163"/>
      <c r="C73" s="76"/>
      <c r="D73" s="76"/>
      <c r="E73" s="77"/>
      <c r="F73" s="78"/>
      <c r="G73" s="163"/>
      <c r="H73" s="163"/>
      <c r="I73" s="163"/>
      <c r="J73" s="163"/>
      <c r="K73" s="164"/>
      <c r="L73" s="165"/>
    </row>
    <row r="74" spans="1:12" ht="13.5">
      <c r="A74" s="142"/>
      <c r="B74" s="143"/>
      <c r="C74" s="70"/>
      <c r="D74" s="70"/>
      <c r="E74" s="71"/>
      <c r="F74" s="72"/>
      <c r="G74" s="143"/>
      <c r="H74" s="143"/>
      <c r="I74" s="143"/>
      <c r="J74" s="143"/>
      <c r="K74" s="145"/>
      <c r="L74" s="146"/>
    </row>
    <row r="75" spans="1:12" ht="13.5">
      <c r="A75" s="142"/>
      <c r="B75" s="143"/>
      <c r="C75" s="70"/>
      <c r="D75" s="70"/>
      <c r="E75" s="71"/>
      <c r="F75" s="72"/>
      <c r="G75" s="143"/>
      <c r="H75" s="143"/>
      <c r="I75" s="143"/>
      <c r="J75" s="143"/>
      <c r="K75" s="145"/>
      <c r="L75" s="146"/>
    </row>
    <row r="76" spans="1:12" ht="13.5">
      <c r="A76" s="142"/>
      <c r="B76" s="143"/>
      <c r="C76" s="70"/>
      <c r="D76" s="70"/>
      <c r="E76" s="71"/>
      <c r="F76" s="72"/>
      <c r="G76" s="143"/>
      <c r="H76" s="143"/>
      <c r="I76" s="143"/>
      <c r="J76" s="143"/>
      <c r="K76" s="145"/>
      <c r="L76" s="146"/>
    </row>
    <row r="77" spans="1:12" ht="13.5">
      <c r="A77" s="142"/>
      <c r="B77" s="143"/>
      <c r="C77" s="70"/>
      <c r="D77" s="70"/>
      <c r="E77" s="71"/>
      <c r="F77" s="72"/>
      <c r="G77" s="143"/>
      <c r="H77" s="143"/>
      <c r="I77" s="143"/>
      <c r="J77" s="143"/>
      <c r="K77" s="145"/>
      <c r="L77" s="146"/>
    </row>
    <row r="78" spans="1:12" ht="13.5">
      <c r="A78" s="142"/>
      <c r="B78" s="143"/>
      <c r="C78" s="70"/>
      <c r="D78" s="70"/>
      <c r="E78" s="71"/>
      <c r="F78" s="72"/>
      <c r="G78" s="143"/>
      <c r="H78" s="143"/>
      <c r="I78" s="143"/>
      <c r="J78" s="143"/>
      <c r="K78" s="145"/>
      <c r="L78" s="146"/>
    </row>
    <row r="79" spans="1:12" ht="13.5">
      <c r="A79" s="142"/>
      <c r="B79" s="143"/>
      <c r="C79" s="70"/>
      <c r="D79" s="70"/>
      <c r="E79" s="71"/>
      <c r="F79" s="72"/>
      <c r="G79" s="143"/>
      <c r="H79" s="143"/>
      <c r="I79" s="143"/>
      <c r="J79" s="143"/>
      <c r="K79" s="145"/>
      <c r="L79" s="146"/>
    </row>
    <row r="80" spans="1:12" ht="13.5">
      <c r="A80" s="142"/>
      <c r="B80" s="143"/>
      <c r="C80" s="70"/>
      <c r="D80" s="70"/>
      <c r="E80" s="71"/>
      <c r="F80" s="72"/>
      <c r="G80" s="143"/>
      <c r="H80" s="143"/>
      <c r="I80" s="143"/>
      <c r="J80" s="143"/>
      <c r="K80" s="145"/>
      <c r="L80" s="146"/>
    </row>
    <row r="81" spans="1:12" ht="13.5">
      <c r="A81" s="142"/>
      <c r="B81" s="143"/>
      <c r="C81" s="70"/>
      <c r="D81" s="70"/>
      <c r="E81" s="71"/>
      <c r="F81" s="72"/>
      <c r="G81" s="143"/>
      <c r="H81" s="143"/>
      <c r="I81" s="143"/>
      <c r="J81" s="143"/>
      <c r="K81" s="145"/>
      <c r="L81" s="146"/>
    </row>
    <row r="82" spans="1:12" ht="13.5">
      <c r="A82" s="142"/>
      <c r="B82" s="143"/>
      <c r="C82" s="70"/>
      <c r="D82" s="70"/>
      <c r="E82" s="71"/>
      <c r="F82" s="72"/>
      <c r="G82" s="143"/>
      <c r="H82" s="143"/>
      <c r="I82" s="143"/>
      <c r="J82" s="143"/>
      <c r="K82" s="145"/>
      <c r="L82" s="146"/>
    </row>
    <row r="83" spans="1:12" ht="13.5">
      <c r="A83" s="142"/>
      <c r="B83" s="143"/>
      <c r="C83" s="70"/>
      <c r="D83" s="70"/>
      <c r="E83" s="71"/>
      <c r="F83" s="72"/>
      <c r="G83" s="143"/>
      <c r="H83" s="143"/>
      <c r="I83" s="143"/>
      <c r="J83" s="143"/>
      <c r="K83" s="145"/>
      <c r="L83" s="146"/>
    </row>
    <row r="84" spans="1:12" ht="13.5">
      <c r="A84" s="142"/>
      <c r="B84" s="143"/>
      <c r="C84" s="70"/>
      <c r="D84" s="70"/>
      <c r="E84" s="71"/>
      <c r="F84" s="72"/>
      <c r="G84" s="143"/>
      <c r="H84" s="143"/>
      <c r="I84" s="143"/>
      <c r="J84" s="143"/>
      <c r="K84" s="145"/>
      <c r="L84" s="146"/>
    </row>
    <row r="85" spans="1:12" ht="13.5">
      <c r="A85" s="142"/>
      <c r="B85" s="143"/>
      <c r="C85" s="70"/>
      <c r="D85" s="70"/>
      <c r="E85" s="71"/>
      <c r="F85" s="72"/>
      <c r="G85" s="143"/>
      <c r="H85" s="143"/>
      <c r="I85" s="143"/>
      <c r="J85" s="143"/>
      <c r="K85" s="145"/>
      <c r="L85" s="146"/>
    </row>
    <row r="86" spans="1:12" ht="13.5">
      <c r="A86" s="142"/>
      <c r="B86" s="143"/>
      <c r="C86" s="70"/>
      <c r="D86" s="70"/>
      <c r="E86" s="71"/>
      <c r="F86" s="72"/>
      <c r="G86" s="143"/>
      <c r="H86" s="143"/>
      <c r="I86" s="143"/>
      <c r="J86" s="143"/>
      <c r="K86" s="145"/>
      <c r="L86" s="146"/>
    </row>
    <row r="87" spans="1:12" ht="13.5">
      <c r="A87" s="142"/>
      <c r="B87" s="143"/>
      <c r="C87" s="70"/>
      <c r="D87" s="70"/>
      <c r="E87" s="71"/>
      <c r="F87" s="72"/>
      <c r="G87" s="143"/>
      <c r="H87" s="143"/>
      <c r="I87" s="143"/>
      <c r="J87" s="143"/>
      <c r="K87" s="145"/>
      <c r="L87" s="146"/>
    </row>
    <row r="88" spans="1:12" ht="13.5">
      <c r="A88" s="142"/>
      <c r="B88" s="143"/>
      <c r="C88" s="70"/>
      <c r="D88" s="70"/>
      <c r="E88" s="71"/>
      <c r="F88" s="72"/>
      <c r="G88" s="143"/>
      <c r="H88" s="143"/>
      <c r="I88" s="143"/>
      <c r="J88" s="143"/>
      <c r="K88" s="145"/>
      <c r="L88" s="146"/>
    </row>
    <row r="89" spans="1:12" ht="13.5">
      <c r="A89" s="142"/>
      <c r="B89" s="143"/>
      <c r="C89" s="70"/>
      <c r="D89" s="70"/>
      <c r="E89" s="71"/>
      <c r="F89" s="72"/>
      <c r="G89" s="143"/>
      <c r="H89" s="143"/>
      <c r="I89" s="143"/>
      <c r="J89" s="143"/>
      <c r="K89" s="145"/>
      <c r="L89" s="146"/>
    </row>
    <row r="90" spans="1:12" ht="13.5">
      <c r="A90" s="142"/>
      <c r="B90" s="143"/>
      <c r="C90" s="70"/>
      <c r="D90" s="70"/>
      <c r="E90" s="71"/>
      <c r="F90" s="72"/>
      <c r="G90" s="143"/>
      <c r="H90" s="143"/>
      <c r="I90" s="143"/>
      <c r="J90" s="143"/>
      <c r="K90" s="145"/>
      <c r="L90" s="146"/>
    </row>
    <row r="91" spans="1:12" ht="13.5">
      <c r="A91" s="142"/>
      <c r="B91" s="143"/>
      <c r="C91" s="70"/>
      <c r="D91" s="70"/>
      <c r="E91" s="71"/>
      <c r="F91" s="72"/>
      <c r="G91" s="143"/>
      <c r="H91" s="143"/>
      <c r="I91" s="143"/>
      <c r="J91" s="143"/>
      <c r="K91" s="145"/>
      <c r="L91" s="146"/>
    </row>
    <row r="92" spans="1:12" ht="13.5">
      <c r="A92" s="142"/>
      <c r="B92" s="143"/>
      <c r="C92" s="70"/>
      <c r="D92" s="70"/>
      <c r="E92" s="71"/>
      <c r="F92" s="72"/>
      <c r="G92" s="143"/>
      <c r="H92" s="143"/>
      <c r="I92" s="143"/>
      <c r="J92" s="143"/>
      <c r="K92" s="145"/>
      <c r="L92" s="146"/>
    </row>
    <row r="93" spans="1:12" ht="13.5">
      <c r="A93" s="142"/>
      <c r="B93" s="143"/>
      <c r="C93" s="70"/>
      <c r="D93" s="70"/>
      <c r="E93" s="71"/>
      <c r="F93" s="72"/>
      <c r="G93" s="143"/>
      <c r="H93" s="143"/>
      <c r="I93" s="143"/>
      <c r="J93" s="143"/>
      <c r="K93" s="145"/>
      <c r="L93" s="146"/>
    </row>
    <row r="94" spans="1:12" ht="13.5">
      <c r="A94" s="142"/>
      <c r="B94" s="143"/>
      <c r="C94" s="70"/>
      <c r="D94" s="70"/>
      <c r="E94" s="71"/>
      <c r="F94" s="72"/>
      <c r="G94" s="143"/>
      <c r="H94" s="143"/>
      <c r="I94" s="143"/>
      <c r="J94" s="143"/>
      <c r="K94" s="145"/>
      <c r="L94" s="146"/>
    </row>
    <row r="95" spans="1:12" ht="13.5">
      <c r="A95" s="142"/>
      <c r="B95" s="143"/>
      <c r="C95" s="70"/>
      <c r="D95" s="70"/>
      <c r="E95" s="71"/>
      <c r="F95" s="72"/>
      <c r="G95" s="143"/>
      <c r="H95" s="143"/>
      <c r="I95" s="143"/>
      <c r="J95" s="143"/>
      <c r="K95" s="145"/>
      <c r="L95" s="146"/>
    </row>
    <row r="96" spans="1:12" ht="13.5">
      <c r="A96" s="142"/>
      <c r="B96" s="143"/>
      <c r="C96" s="70"/>
      <c r="D96" s="70"/>
      <c r="E96" s="71"/>
      <c r="F96" s="72"/>
      <c r="G96" s="143"/>
      <c r="H96" s="143"/>
      <c r="I96" s="143"/>
      <c r="J96" s="143"/>
      <c r="K96" s="145"/>
      <c r="L96" s="146"/>
    </row>
    <row r="97" spans="1:12" ht="13.5">
      <c r="A97" s="142"/>
      <c r="B97" s="143"/>
      <c r="C97" s="70"/>
      <c r="D97" s="70"/>
      <c r="E97" s="71"/>
      <c r="F97" s="72"/>
      <c r="G97" s="143"/>
      <c r="H97" s="143"/>
      <c r="I97" s="143"/>
      <c r="J97" s="143"/>
      <c r="K97" s="145"/>
      <c r="L97" s="146"/>
    </row>
    <row r="98" spans="1:12" ht="13.5">
      <c r="A98" s="142"/>
      <c r="B98" s="143"/>
      <c r="C98" s="70"/>
      <c r="D98" s="70"/>
      <c r="E98" s="71"/>
      <c r="F98" s="72"/>
      <c r="G98" s="143"/>
      <c r="H98" s="143"/>
      <c r="I98" s="143"/>
      <c r="J98" s="143"/>
      <c r="K98" s="145"/>
      <c r="L98" s="146"/>
    </row>
    <row r="99" spans="1:12" ht="13.5">
      <c r="A99" s="142"/>
      <c r="B99" s="143"/>
      <c r="C99" s="70"/>
      <c r="D99" s="70"/>
      <c r="E99" s="71"/>
      <c r="F99" s="72"/>
      <c r="G99" s="143"/>
      <c r="H99" s="143"/>
      <c r="I99" s="143"/>
      <c r="J99" s="143"/>
      <c r="K99" s="145"/>
      <c r="L99" s="146"/>
    </row>
    <row r="100" spans="1:12" ht="13.5">
      <c r="A100" s="142"/>
      <c r="B100" s="143"/>
      <c r="C100" s="70"/>
      <c r="D100" s="70"/>
      <c r="E100" s="71"/>
      <c r="F100" s="72"/>
      <c r="G100" s="143"/>
      <c r="H100" s="143"/>
      <c r="I100" s="143"/>
      <c r="J100" s="143"/>
      <c r="K100" s="145"/>
      <c r="L100" s="146"/>
    </row>
    <row r="101" spans="1:12" ht="13.5">
      <c r="A101" s="142"/>
      <c r="B101" s="143"/>
      <c r="C101" s="70"/>
      <c r="D101" s="70"/>
      <c r="E101" s="71"/>
      <c r="F101" s="72"/>
      <c r="G101" s="143"/>
      <c r="H101" s="143"/>
      <c r="I101" s="143"/>
      <c r="J101" s="143"/>
      <c r="K101" s="145"/>
      <c r="L101" s="146"/>
    </row>
    <row r="102" spans="1:12" ht="13.5">
      <c r="A102" s="142"/>
      <c r="B102" s="143"/>
      <c r="C102" s="70"/>
      <c r="D102" s="70"/>
      <c r="E102" s="71"/>
      <c r="F102" s="72"/>
      <c r="G102" s="143"/>
      <c r="H102" s="143"/>
      <c r="I102" s="143"/>
      <c r="J102" s="143"/>
      <c r="K102" s="145"/>
      <c r="L102" s="146"/>
    </row>
    <row r="103" spans="1:12" ht="13.5">
      <c r="A103" s="142"/>
      <c r="B103" s="143"/>
      <c r="C103" s="70"/>
      <c r="D103" s="70"/>
      <c r="E103" s="71"/>
      <c r="F103" s="72"/>
      <c r="G103" s="143"/>
      <c r="H103" s="143"/>
      <c r="I103" s="143"/>
      <c r="J103" s="143"/>
      <c r="K103" s="145"/>
      <c r="L103" s="146"/>
    </row>
    <row r="104" spans="1:12" ht="13.5">
      <c r="A104" s="142"/>
      <c r="B104" s="143"/>
      <c r="C104" s="70"/>
      <c r="D104" s="70"/>
      <c r="E104" s="71"/>
      <c r="F104" s="72"/>
      <c r="G104" s="143"/>
      <c r="H104" s="143"/>
      <c r="I104" s="143"/>
      <c r="J104" s="143"/>
      <c r="K104" s="145"/>
      <c r="L104" s="146"/>
    </row>
    <row r="105" spans="1:12" ht="13.5">
      <c r="A105" s="142"/>
      <c r="B105" s="143"/>
      <c r="C105" s="70"/>
      <c r="D105" s="70"/>
      <c r="E105" s="71"/>
      <c r="F105" s="72"/>
      <c r="G105" s="143"/>
      <c r="H105" s="143"/>
      <c r="I105" s="143"/>
      <c r="J105" s="143"/>
      <c r="K105" s="145"/>
      <c r="L105" s="146"/>
    </row>
    <row r="106" spans="1:12" ht="13.5">
      <c r="A106" s="142"/>
      <c r="B106" s="143"/>
      <c r="C106" s="70"/>
      <c r="D106" s="70"/>
      <c r="E106" s="71"/>
      <c r="F106" s="72"/>
      <c r="G106" s="143"/>
      <c r="H106" s="143"/>
      <c r="I106" s="143"/>
      <c r="J106" s="143"/>
      <c r="K106" s="145"/>
      <c r="L106" s="146"/>
    </row>
    <row r="107" spans="1:12" ht="14.25" thickBot="1">
      <c r="A107" s="153"/>
      <c r="B107" s="154"/>
      <c r="C107" s="79"/>
      <c r="D107" s="79"/>
      <c r="E107" s="80"/>
      <c r="F107" s="81"/>
      <c r="G107" s="154"/>
      <c r="H107" s="154"/>
      <c r="I107" s="154"/>
      <c r="J107" s="154"/>
      <c r="K107" s="155"/>
      <c r="L107" s="156"/>
    </row>
    <row r="108" spans="1:12" ht="14.25" thickBot="1">
      <c r="A108" s="153"/>
      <c r="B108" s="154"/>
      <c r="C108" s="79"/>
      <c r="D108" s="79"/>
      <c r="E108" s="80"/>
      <c r="F108" s="81"/>
      <c r="G108" s="154"/>
      <c r="H108" s="154"/>
      <c r="I108" s="154"/>
      <c r="J108" s="154"/>
      <c r="K108" s="155"/>
      <c r="L108" s="156"/>
    </row>
    <row r="109" spans="1:12" ht="13.5">
      <c r="A109" s="157"/>
      <c r="B109" s="158"/>
      <c r="C109" s="73"/>
      <c r="D109" s="73"/>
      <c r="E109" s="74"/>
      <c r="F109" s="75"/>
      <c r="G109" s="158"/>
      <c r="H109" s="158"/>
      <c r="I109" s="158"/>
      <c r="J109" s="158"/>
      <c r="K109" s="159"/>
      <c r="L109" s="158"/>
    </row>
    <row r="110" spans="1:12" ht="14.25" thickBot="1">
      <c r="A110" s="157"/>
      <c r="B110" s="158"/>
      <c r="C110" s="73"/>
      <c r="D110" s="73"/>
      <c r="E110" s="74"/>
      <c r="F110" s="75"/>
      <c r="G110" s="158"/>
      <c r="H110" s="158"/>
      <c r="I110" s="158"/>
      <c r="J110" s="158"/>
      <c r="K110" s="159"/>
      <c r="L110" s="158"/>
    </row>
    <row r="111" spans="1:12" ht="30">
      <c r="A111" s="653" t="s">
        <v>812</v>
      </c>
      <c r="B111" s="654"/>
      <c r="C111" s="654"/>
      <c r="D111" s="654"/>
      <c r="E111" s="654"/>
      <c r="F111" s="45"/>
      <c r="G111" s="46"/>
      <c r="H111" s="100"/>
      <c r="I111" s="100"/>
      <c r="J111" s="100"/>
      <c r="K111" s="101"/>
      <c r="L111" s="102"/>
    </row>
    <row r="112" spans="1:12" ht="25.5">
      <c r="A112" s="655"/>
      <c r="B112" s="656"/>
      <c r="C112" s="656"/>
      <c r="D112" s="656"/>
      <c r="E112" s="656"/>
      <c r="F112" s="47"/>
      <c r="G112" s="48"/>
      <c r="H112" s="105"/>
      <c r="I112" s="105"/>
      <c r="J112" s="105"/>
      <c r="K112" s="106"/>
      <c r="L112" s="107"/>
    </row>
    <row r="113" spans="1:12" ht="23.25">
      <c r="A113" s="657">
        <f>A67</f>
        <v>0</v>
      </c>
      <c r="B113" s="658"/>
      <c r="C113" s="658"/>
      <c r="D113" s="658"/>
      <c r="E113" s="658"/>
      <c r="F113" s="47"/>
      <c r="G113" s="48"/>
      <c r="H113" s="105"/>
      <c r="I113" s="105"/>
      <c r="J113" s="105"/>
      <c r="K113" s="106"/>
      <c r="L113" s="107"/>
    </row>
    <row r="114" spans="1:12" ht="20.25">
      <c r="A114" s="108" t="s">
        <v>5</v>
      </c>
      <c r="B114" s="29"/>
      <c r="C114" s="30"/>
      <c r="D114" s="99"/>
      <c r="E114" s="166" t="s">
        <v>7</v>
      </c>
      <c r="F114" s="47"/>
      <c r="G114" s="48"/>
      <c r="H114" s="105"/>
      <c r="I114" s="105"/>
      <c r="J114" s="105"/>
      <c r="K114" s="106"/>
      <c r="L114" s="107"/>
    </row>
    <row r="115" spans="1:12" ht="20.25">
      <c r="A115" s="160" t="str">
        <f>A69</f>
        <v>Construção da Coordenadoria de Tecnologias Educacionais da SEAD</v>
      </c>
      <c r="B115" s="160"/>
      <c r="C115" s="161"/>
      <c r="D115" s="161"/>
      <c r="E115" s="659" t="str">
        <f>E69</f>
        <v>SETEMBRO/2017</v>
      </c>
      <c r="F115" s="659"/>
      <c r="G115" s="48"/>
      <c r="H115" s="105"/>
      <c r="I115" s="105"/>
      <c r="J115" s="105"/>
      <c r="K115" s="106"/>
      <c r="L115" s="107"/>
    </row>
    <row r="116" spans="1:12" ht="20.25">
      <c r="A116" s="660" t="s">
        <v>6</v>
      </c>
      <c r="B116" s="661"/>
      <c r="C116" s="30"/>
      <c r="D116" s="49"/>
      <c r="E116" s="167" t="s">
        <v>24</v>
      </c>
      <c r="F116" s="47"/>
      <c r="G116" s="664" t="s">
        <v>25</v>
      </c>
      <c r="H116" s="664"/>
      <c r="I116" s="105"/>
      <c r="J116" s="474" t="s">
        <v>26</v>
      </c>
      <c r="K116" s="106"/>
      <c r="L116" s="107"/>
    </row>
    <row r="117" spans="1:12" ht="21" thickBot="1">
      <c r="A117" s="160" t="str">
        <f>A71</f>
        <v>Campus da Federação Universidade Federal da Bahia, Salvador - Bahia</v>
      </c>
      <c r="B117" s="160"/>
      <c r="C117" s="330"/>
      <c r="D117" s="335"/>
      <c r="E117" s="652">
        <f>E71</f>
        <v>97.449999999999989</v>
      </c>
      <c r="F117" s="652"/>
      <c r="G117" s="652">
        <f>G71</f>
        <v>0</v>
      </c>
      <c r="H117" s="652"/>
      <c r="I117" s="105"/>
      <c r="J117" s="475">
        <f>G117/E117</f>
        <v>0</v>
      </c>
      <c r="K117" s="106"/>
      <c r="L117" s="107"/>
    </row>
    <row r="118" spans="1:12" ht="14.25" thickBot="1">
      <c r="A118" s="336"/>
      <c r="B118" s="337"/>
      <c r="C118" s="338"/>
      <c r="D118" s="338"/>
      <c r="E118" s="339"/>
      <c r="F118" s="340"/>
      <c r="G118" s="337"/>
      <c r="H118" s="337"/>
      <c r="I118" s="337"/>
      <c r="J118" s="337"/>
      <c r="K118" s="341"/>
      <c r="L118" s="342"/>
    </row>
    <row r="119" spans="1:12" ht="13.5">
      <c r="A119" s="162"/>
      <c r="B119" s="163"/>
      <c r="C119" s="76"/>
      <c r="D119" s="76"/>
      <c r="E119" s="77"/>
      <c r="F119" s="78"/>
      <c r="G119" s="163"/>
      <c r="H119" s="163"/>
      <c r="I119" s="163"/>
      <c r="J119" s="163"/>
      <c r="K119" s="164"/>
      <c r="L119" s="165"/>
    </row>
    <row r="120" spans="1:12" ht="13.5">
      <c r="A120" s="142"/>
      <c r="B120" s="143"/>
      <c r="C120" s="70"/>
      <c r="D120" s="70"/>
      <c r="E120" s="71"/>
      <c r="F120" s="72"/>
      <c r="G120" s="143"/>
      <c r="H120" s="143"/>
      <c r="I120" s="143"/>
      <c r="J120" s="143"/>
      <c r="K120" s="145"/>
      <c r="L120" s="146"/>
    </row>
    <row r="121" spans="1:12" ht="13.5">
      <c r="A121" s="142"/>
      <c r="B121" s="143"/>
      <c r="C121" s="70"/>
      <c r="D121" s="70"/>
      <c r="E121" s="71"/>
      <c r="F121" s="72"/>
      <c r="G121" s="143"/>
      <c r="H121" s="143"/>
      <c r="I121" s="143"/>
      <c r="J121" s="143"/>
      <c r="K121" s="145"/>
      <c r="L121" s="146"/>
    </row>
    <row r="122" spans="1:12" ht="13.5">
      <c r="A122" s="142"/>
      <c r="B122" s="143"/>
      <c r="C122" s="70"/>
      <c r="D122" s="70"/>
      <c r="E122" s="71"/>
      <c r="F122" s="72"/>
      <c r="G122" s="143"/>
      <c r="H122" s="143"/>
      <c r="I122" s="143"/>
      <c r="J122" s="143"/>
      <c r="K122" s="145"/>
      <c r="L122" s="146"/>
    </row>
    <row r="123" spans="1:12" ht="13.5">
      <c r="A123" s="142"/>
      <c r="B123" s="143"/>
      <c r="C123" s="70"/>
      <c r="D123" s="70"/>
      <c r="E123" s="71"/>
      <c r="F123" s="72"/>
      <c r="G123" s="143"/>
      <c r="H123" s="143"/>
      <c r="I123" s="143"/>
      <c r="J123" s="143"/>
      <c r="K123" s="145"/>
      <c r="L123" s="146"/>
    </row>
    <row r="124" spans="1:12" ht="13.5">
      <c r="A124" s="142"/>
      <c r="B124" s="143"/>
      <c r="C124" s="70"/>
      <c r="D124" s="70"/>
      <c r="E124" s="71"/>
      <c r="F124" s="72"/>
      <c r="G124" s="143"/>
      <c r="H124" s="143"/>
      <c r="I124" s="143"/>
      <c r="J124" s="143"/>
      <c r="K124" s="145"/>
      <c r="L124" s="146"/>
    </row>
    <row r="125" spans="1:12" ht="13.5">
      <c r="A125" s="142"/>
      <c r="B125" s="143"/>
      <c r="C125" s="70"/>
      <c r="D125" s="70"/>
      <c r="E125" s="71"/>
      <c r="F125" s="72"/>
      <c r="G125" s="143"/>
      <c r="H125" s="143"/>
      <c r="I125" s="143"/>
      <c r="J125" s="143"/>
      <c r="K125" s="145"/>
      <c r="L125" s="146"/>
    </row>
    <row r="126" spans="1:12" ht="13.5">
      <c r="A126" s="142"/>
      <c r="B126" s="143"/>
      <c r="C126" s="70"/>
      <c r="D126" s="70"/>
      <c r="E126" s="71"/>
      <c r="F126" s="72"/>
      <c r="G126" s="143"/>
      <c r="H126" s="143"/>
      <c r="I126" s="143"/>
      <c r="J126" s="143"/>
      <c r="K126" s="145"/>
      <c r="L126" s="146"/>
    </row>
    <row r="127" spans="1:12" ht="13.5">
      <c r="A127" s="142"/>
      <c r="B127" s="143"/>
      <c r="C127" s="70"/>
      <c r="D127" s="70"/>
      <c r="E127" s="71"/>
      <c r="F127" s="72"/>
      <c r="G127" s="143"/>
      <c r="H127" s="143"/>
      <c r="I127" s="143"/>
      <c r="J127" s="143"/>
      <c r="K127" s="145"/>
      <c r="L127" s="146"/>
    </row>
    <row r="128" spans="1:12" ht="13.5">
      <c r="A128" s="142"/>
      <c r="B128" s="143"/>
      <c r="C128" s="70"/>
      <c r="D128" s="70"/>
      <c r="E128" s="71"/>
      <c r="F128" s="72"/>
      <c r="G128" s="143"/>
      <c r="H128" s="143"/>
      <c r="I128" s="143"/>
      <c r="J128" s="143"/>
      <c r="K128" s="145"/>
      <c r="L128" s="146"/>
    </row>
    <row r="129" spans="1:12" ht="13.5">
      <c r="A129" s="142"/>
      <c r="B129" s="143"/>
      <c r="C129" s="70"/>
      <c r="D129" s="70"/>
      <c r="E129" s="71"/>
      <c r="F129" s="72"/>
      <c r="G129" s="143"/>
      <c r="H129" s="143"/>
      <c r="I129" s="143"/>
      <c r="J129" s="143"/>
      <c r="K129" s="145"/>
      <c r="L129" s="146"/>
    </row>
    <row r="130" spans="1:12" ht="13.5">
      <c r="A130" s="142"/>
      <c r="B130" s="143"/>
      <c r="C130" s="70"/>
      <c r="D130" s="70"/>
      <c r="E130" s="71"/>
      <c r="F130" s="72"/>
      <c r="G130" s="143"/>
      <c r="H130" s="143"/>
      <c r="I130" s="143"/>
      <c r="J130" s="143"/>
      <c r="K130" s="145"/>
      <c r="L130" s="146"/>
    </row>
    <row r="131" spans="1:12" ht="13.5">
      <c r="A131" s="142"/>
      <c r="B131" s="143"/>
      <c r="C131" s="70"/>
      <c r="D131" s="70"/>
      <c r="E131" s="71"/>
      <c r="F131" s="72"/>
      <c r="G131" s="143"/>
      <c r="H131" s="143"/>
      <c r="I131" s="143"/>
      <c r="J131" s="143"/>
      <c r="K131" s="145"/>
      <c r="L131" s="146"/>
    </row>
    <row r="132" spans="1:12" ht="13.5">
      <c r="A132" s="142"/>
      <c r="B132" s="143"/>
      <c r="C132" s="70"/>
      <c r="D132" s="70"/>
      <c r="E132" s="71"/>
      <c r="F132" s="72"/>
      <c r="G132" s="143"/>
      <c r="H132" s="143"/>
      <c r="I132" s="143"/>
      <c r="J132" s="143"/>
      <c r="K132" s="145"/>
      <c r="L132" s="146"/>
    </row>
    <row r="133" spans="1:12" ht="13.5">
      <c r="A133" s="142"/>
      <c r="B133" s="143"/>
      <c r="C133" s="70"/>
      <c r="D133" s="70"/>
      <c r="E133" s="71"/>
      <c r="F133" s="72"/>
      <c r="G133" s="143"/>
      <c r="H133" s="143"/>
      <c r="I133" s="143"/>
      <c r="J133" s="143"/>
      <c r="K133" s="145"/>
      <c r="L133" s="146"/>
    </row>
    <row r="134" spans="1:12" ht="13.5">
      <c r="A134" s="142"/>
      <c r="B134" s="143"/>
      <c r="C134" s="70"/>
      <c r="D134" s="70"/>
      <c r="E134" s="71"/>
      <c r="F134" s="72"/>
      <c r="G134" s="143"/>
      <c r="H134" s="143"/>
      <c r="I134" s="143"/>
      <c r="J134" s="143"/>
      <c r="K134" s="145"/>
      <c r="L134" s="146"/>
    </row>
    <row r="135" spans="1:12" ht="13.5">
      <c r="A135" s="142"/>
      <c r="B135" s="143"/>
      <c r="C135" s="70"/>
      <c r="D135" s="70"/>
      <c r="E135" s="71"/>
      <c r="F135" s="72"/>
      <c r="G135" s="143"/>
      <c r="H135" s="143"/>
      <c r="I135" s="143"/>
      <c r="J135" s="143"/>
      <c r="K135" s="145"/>
      <c r="L135" s="146"/>
    </row>
    <row r="136" spans="1:12" ht="13.5">
      <c r="A136" s="142"/>
      <c r="B136" s="143"/>
      <c r="C136" s="70"/>
      <c r="D136" s="70"/>
      <c r="E136" s="71"/>
      <c r="F136" s="72"/>
      <c r="G136" s="143"/>
      <c r="H136" s="143"/>
      <c r="I136" s="143"/>
      <c r="J136" s="143"/>
      <c r="K136" s="145"/>
      <c r="L136" s="146"/>
    </row>
    <row r="137" spans="1:12" ht="13.5">
      <c r="A137" s="142"/>
      <c r="B137" s="143"/>
      <c r="C137" s="70"/>
      <c r="D137" s="70"/>
      <c r="E137" s="71"/>
      <c r="F137" s="72"/>
      <c r="G137" s="143"/>
      <c r="H137" s="143"/>
      <c r="I137" s="143"/>
      <c r="J137" s="143"/>
      <c r="K137" s="145"/>
      <c r="L137" s="146"/>
    </row>
    <row r="138" spans="1:12" ht="13.5">
      <c r="A138" s="142"/>
      <c r="B138" s="143"/>
      <c r="C138" s="70"/>
      <c r="D138" s="70"/>
      <c r="E138" s="71"/>
      <c r="F138" s="72"/>
      <c r="G138" s="143"/>
      <c r="H138" s="143"/>
      <c r="I138" s="143"/>
      <c r="J138" s="143"/>
      <c r="K138" s="145"/>
      <c r="L138" s="146"/>
    </row>
    <row r="139" spans="1:12" ht="13.5">
      <c r="A139" s="142"/>
      <c r="B139" s="143"/>
      <c r="C139" s="70"/>
      <c r="D139" s="70"/>
      <c r="E139" s="71"/>
      <c r="F139" s="72"/>
      <c r="G139" s="143"/>
      <c r="H139" s="143"/>
      <c r="I139" s="143"/>
      <c r="J139" s="143"/>
      <c r="K139" s="145"/>
      <c r="L139" s="146"/>
    </row>
    <row r="140" spans="1:12" ht="13.5">
      <c r="A140" s="142"/>
      <c r="B140" s="143"/>
      <c r="C140" s="70"/>
      <c r="D140" s="70"/>
      <c r="E140" s="71"/>
      <c r="F140" s="72"/>
      <c r="G140" s="143"/>
      <c r="H140" s="143"/>
      <c r="I140" s="143"/>
      <c r="J140" s="143"/>
      <c r="K140" s="145"/>
      <c r="L140" s="146"/>
    </row>
    <row r="141" spans="1:12" ht="13.5">
      <c r="A141" s="142"/>
      <c r="B141" s="143"/>
      <c r="C141" s="70"/>
      <c r="D141" s="70"/>
      <c r="E141" s="71"/>
      <c r="F141" s="72"/>
      <c r="G141" s="143"/>
      <c r="H141" s="143"/>
      <c r="I141" s="143"/>
      <c r="J141" s="143"/>
      <c r="K141" s="145"/>
      <c r="L141" s="146"/>
    </row>
    <row r="142" spans="1:12" ht="13.5">
      <c r="A142" s="142"/>
      <c r="B142" s="143"/>
      <c r="C142" s="70"/>
      <c r="D142" s="70"/>
      <c r="E142" s="71"/>
      <c r="F142" s="72"/>
      <c r="G142" s="143"/>
      <c r="H142" s="143"/>
      <c r="I142" s="143"/>
      <c r="J142" s="143"/>
      <c r="K142" s="145"/>
      <c r="L142" s="146"/>
    </row>
    <row r="143" spans="1:12" ht="13.5">
      <c r="A143" s="142"/>
      <c r="B143" s="143"/>
      <c r="C143" s="70"/>
      <c r="D143" s="70"/>
      <c r="E143" s="71"/>
      <c r="F143" s="72"/>
      <c r="G143" s="143"/>
      <c r="H143" s="143"/>
      <c r="I143" s="143"/>
      <c r="J143" s="143"/>
      <c r="K143" s="145"/>
      <c r="L143" s="146"/>
    </row>
    <row r="144" spans="1:12" ht="13.5">
      <c r="A144" s="142"/>
      <c r="B144" s="143"/>
      <c r="C144" s="70"/>
      <c r="D144" s="70"/>
      <c r="E144" s="71"/>
      <c r="F144" s="72"/>
      <c r="G144" s="143"/>
      <c r="H144" s="143"/>
      <c r="I144" s="143"/>
      <c r="J144" s="143"/>
      <c r="K144" s="145"/>
      <c r="L144" s="146"/>
    </row>
    <row r="145" spans="1:12" ht="13.5">
      <c r="A145" s="142"/>
      <c r="B145" s="143"/>
      <c r="C145" s="70"/>
      <c r="D145" s="70"/>
      <c r="E145" s="71"/>
      <c r="F145" s="72"/>
      <c r="G145" s="143"/>
      <c r="H145" s="143"/>
      <c r="I145" s="143"/>
      <c r="J145" s="143"/>
      <c r="K145" s="145"/>
      <c r="L145" s="146"/>
    </row>
    <row r="146" spans="1:12" ht="13.5">
      <c r="A146" s="142"/>
      <c r="B146" s="143"/>
      <c r="C146" s="70"/>
      <c r="D146" s="70"/>
      <c r="E146" s="71"/>
      <c r="F146" s="72"/>
      <c r="G146" s="143"/>
      <c r="H146" s="143"/>
      <c r="I146" s="143"/>
      <c r="J146" s="143"/>
      <c r="K146" s="145"/>
      <c r="L146" s="146"/>
    </row>
    <row r="147" spans="1:12" ht="13.5">
      <c r="A147" s="157"/>
      <c r="B147" s="158"/>
      <c r="C147" s="82"/>
      <c r="D147" s="73"/>
      <c r="E147" s="74"/>
      <c r="F147" s="75"/>
      <c r="G147" s="158"/>
      <c r="H147" s="158"/>
      <c r="I147" s="158"/>
      <c r="J147" s="158"/>
      <c r="K147" s="159"/>
      <c r="L147" s="158"/>
    </row>
    <row r="148" spans="1:12" ht="13.5">
      <c r="A148" s="157"/>
      <c r="B148" s="158"/>
      <c r="C148" s="73"/>
      <c r="D148" s="73"/>
      <c r="E148" s="74"/>
      <c r="F148" s="75"/>
      <c r="G148" s="158"/>
      <c r="H148" s="158"/>
      <c r="I148" s="158"/>
      <c r="J148" s="158"/>
      <c r="K148" s="159"/>
      <c r="L148" s="158"/>
    </row>
    <row r="149" spans="1:12" ht="13.5">
      <c r="A149" s="157"/>
      <c r="B149" s="158"/>
      <c r="C149" s="73"/>
      <c r="D149" s="73"/>
      <c r="E149" s="74"/>
      <c r="F149" s="75"/>
      <c r="G149" s="158"/>
      <c r="H149" s="158"/>
      <c r="I149" s="158"/>
      <c r="J149" s="158"/>
      <c r="K149" s="159"/>
      <c r="L149" s="158"/>
    </row>
    <row r="150" spans="1:12" ht="13.5">
      <c r="A150" s="157"/>
      <c r="B150" s="158"/>
      <c r="C150" s="73"/>
      <c r="D150" s="73"/>
      <c r="E150" s="74"/>
      <c r="F150" s="75"/>
      <c r="G150" s="158"/>
      <c r="H150" s="158"/>
      <c r="I150" s="158"/>
      <c r="J150" s="158"/>
      <c r="K150" s="159"/>
      <c r="L150" s="158"/>
    </row>
    <row r="151" spans="1:12" ht="13.5">
      <c r="A151" s="157"/>
      <c r="B151" s="158"/>
      <c r="C151" s="73"/>
      <c r="D151" s="73"/>
      <c r="E151" s="74"/>
      <c r="F151" s="75"/>
      <c r="G151" s="158"/>
      <c r="H151" s="158"/>
      <c r="I151" s="158"/>
      <c r="J151" s="158"/>
      <c r="K151" s="159"/>
      <c r="L151" s="158"/>
    </row>
    <row r="152" spans="1:12" ht="13.5">
      <c r="A152" s="157"/>
      <c r="B152" s="158"/>
      <c r="C152" s="73"/>
      <c r="D152" s="73"/>
      <c r="E152" s="74"/>
      <c r="F152" s="75"/>
      <c r="G152" s="158"/>
      <c r="H152" s="158"/>
      <c r="I152" s="158"/>
      <c r="J152" s="158"/>
      <c r="K152" s="159"/>
      <c r="L152" s="158"/>
    </row>
    <row r="153" spans="1:12" ht="13.5">
      <c r="A153" s="157"/>
      <c r="B153" s="158"/>
      <c r="C153" s="73"/>
      <c r="D153" s="73"/>
      <c r="E153" s="74"/>
      <c r="F153" s="75"/>
      <c r="G153" s="158"/>
      <c r="H153" s="158"/>
      <c r="I153" s="158"/>
      <c r="J153" s="158"/>
      <c r="K153" s="159"/>
      <c r="L153" s="158"/>
    </row>
    <row r="154" spans="1:12" ht="13.5">
      <c r="A154" s="157"/>
      <c r="B154" s="158"/>
      <c r="C154" s="73"/>
      <c r="D154" s="73"/>
      <c r="E154" s="74"/>
      <c r="F154" s="75"/>
      <c r="G154" s="158"/>
      <c r="H154" s="158"/>
      <c r="I154" s="158"/>
      <c r="J154" s="158"/>
      <c r="K154" s="159"/>
      <c r="L154" s="158"/>
    </row>
    <row r="155" spans="1:12" ht="13.5">
      <c r="A155" s="157"/>
      <c r="B155" s="158"/>
      <c r="C155" s="73"/>
      <c r="D155" s="73"/>
      <c r="E155" s="74"/>
      <c r="F155" s="75"/>
      <c r="G155" s="158"/>
      <c r="H155" s="158"/>
      <c r="I155" s="158"/>
      <c r="J155" s="158"/>
      <c r="K155" s="159"/>
      <c r="L155" s="158"/>
    </row>
    <row r="156" spans="1:12" ht="13.5">
      <c r="A156" s="157"/>
      <c r="B156" s="158"/>
      <c r="C156" s="73"/>
      <c r="D156" s="73"/>
      <c r="E156" s="74"/>
      <c r="F156" s="75"/>
      <c r="G156" s="158"/>
      <c r="H156" s="158"/>
      <c r="I156" s="158"/>
      <c r="J156" s="158"/>
      <c r="K156" s="159"/>
      <c r="L156" s="158"/>
    </row>
    <row r="157" spans="1:12" ht="13.5">
      <c r="A157" s="157"/>
      <c r="B157" s="158"/>
      <c r="C157" s="73"/>
      <c r="D157" s="73"/>
      <c r="E157" s="74"/>
      <c r="F157" s="75"/>
      <c r="G157" s="158"/>
      <c r="H157" s="158"/>
      <c r="I157" s="158"/>
      <c r="J157" s="158"/>
      <c r="K157" s="159"/>
      <c r="L157" s="158"/>
    </row>
    <row r="158" spans="1:12" ht="13.5">
      <c r="A158" s="157"/>
      <c r="B158" s="158"/>
      <c r="C158" s="73"/>
      <c r="D158" s="73"/>
      <c r="E158" s="74"/>
      <c r="F158" s="75"/>
      <c r="G158" s="158"/>
      <c r="H158" s="158"/>
      <c r="I158" s="158"/>
      <c r="J158" s="158"/>
      <c r="K158" s="159"/>
      <c r="L158" s="158"/>
    </row>
    <row r="159" spans="1:12" ht="13.5">
      <c r="A159" s="157"/>
      <c r="B159" s="158"/>
      <c r="C159" s="73"/>
      <c r="D159" s="73"/>
      <c r="E159" s="74"/>
      <c r="F159" s="75"/>
      <c r="G159" s="158"/>
      <c r="H159" s="158"/>
      <c r="I159" s="158"/>
      <c r="J159" s="158"/>
      <c r="K159" s="159"/>
      <c r="L159" s="158"/>
    </row>
    <row r="160" spans="1:12" ht="13.5">
      <c r="A160" s="157"/>
      <c r="B160" s="158"/>
      <c r="C160" s="73"/>
      <c r="D160" s="73"/>
      <c r="E160" s="74"/>
      <c r="F160" s="75"/>
      <c r="G160" s="158"/>
      <c r="H160" s="158"/>
      <c r="I160" s="158"/>
      <c r="J160" s="158"/>
      <c r="K160" s="159"/>
      <c r="L160" s="158"/>
    </row>
    <row r="161" spans="1:12" ht="13.5">
      <c r="A161" s="157"/>
      <c r="B161" s="158"/>
      <c r="C161" s="73"/>
      <c r="D161" s="73"/>
      <c r="E161" s="74"/>
      <c r="F161" s="75"/>
      <c r="G161" s="158"/>
      <c r="H161" s="158"/>
      <c r="I161" s="158"/>
      <c r="J161" s="158"/>
      <c r="K161" s="159"/>
      <c r="L161" s="158"/>
    </row>
    <row r="162" spans="1:12" ht="13.5">
      <c r="A162" s="157"/>
      <c r="B162" s="158"/>
      <c r="C162" s="73"/>
      <c r="D162" s="73"/>
      <c r="E162" s="74"/>
      <c r="F162" s="75"/>
      <c r="G162" s="158"/>
      <c r="H162" s="158"/>
      <c r="I162" s="158"/>
      <c r="J162" s="158"/>
      <c r="K162" s="159"/>
      <c r="L162" s="158"/>
    </row>
    <row r="163" spans="1:12" ht="13.5">
      <c r="A163" s="157"/>
      <c r="B163" s="158"/>
      <c r="C163" s="73"/>
      <c r="D163" s="73"/>
      <c r="E163" s="74"/>
      <c r="F163" s="75"/>
      <c r="G163" s="158"/>
      <c r="H163" s="158"/>
      <c r="I163" s="158"/>
      <c r="J163" s="158"/>
      <c r="K163" s="159"/>
      <c r="L163" s="158"/>
    </row>
    <row r="164" spans="1:12" ht="13.5">
      <c r="A164" s="157"/>
      <c r="B164" s="158"/>
      <c r="C164" s="73"/>
      <c r="D164" s="73"/>
      <c r="E164" s="74"/>
      <c r="F164" s="75"/>
      <c r="G164" s="158"/>
      <c r="H164" s="158"/>
      <c r="I164" s="158"/>
      <c r="J164" s="158"/>
      <c r="K164" s="159"/>
      <c r="L164" s="158"/>
    </row>
    <row r="165" spans="1:12" ht="13.5">
      <c r="A165" s="157"/>
      <c r="B165" s="158"/>
      <c r="C165" s="73"/>
      <c r="D165" s="73"/>
      <c r="E165" s="74"/>
      <c r="F165" s="75"/>
      <c r="G165" s="158"/>
      <c r="H165" s="158"/>
      <c r="I165" s="158"/>
      <c r="J165" s="158"/>
      <c r="K165" s="159"/>
      <c r="L165" s="158"/>
    </row>
    <row r="166" spans="1:12" ht="13.5">
      <c r="A166" s="157"/>
      <c r="B166" s="158"/>
      <c r="C166" s="73"/>
      <c r="D166" s="73"/>
      <c r="E166" s="74"/>
      <c r="F166" s="75"/>
      <c r="G166" s="158"/>
      <c r="H166" s="158"/>
      <c r="I166" s="158"/>
      <c r="J166" s="158"/>
      <c r="K166" s="159"/>
      <c r="L166" s="158"/>
    </row>
    <row r="167" spans="1:12" ht="13.5">
      <c r="A167" s="157"/>
      <c r="B167" s="158"/>
      <c r="C167" s="73"/>
      <c r="D167" s="73"/>
      <c r="E167" s="74"/>
      <c r="F167" s="75"/>
      <c r="G167" s="158"/>
      <c r="H167" s="158"/>
      <c r="I167" s="158"/>
      <c r="J167" s="158"/>
      <c r="K167" s="159"/>
      <c r="L167" s="158"/>
    </row>
    <row r="168" spans="1:12" ht="13.5">
      <c r="A168" s="157"/>
      <c r="B168" s="158"/>
      <c r="C168" s="73"/>
      <c r="D168" s="73"/>
      <c r="E168" s="74"/>
      <c r="F168" s="75"/>
      <c r="G168" s="158"/>
      <c r="H168" s="158"/>
      <c r="I168" s="158"/>
      <c r="J168" s="158"/>
      <c r="K168" s="159"/>
      <c r="L168" s="158"/>
    </row>
    <row r="169" spans="1:12" ht="13.5">
      <c r="A169" s="157"/>
      <c r="B169" s="158"/>
      <c r="C169" s="73"/>
      <c r="D169" s="73"/>
      <c r="E169" s="74"/>
      <c r="F169" s="75"/>
      <c r="G169" s="158"/>
      <c r="H169" s="158"/>
      <c r="I169" s="158"/>
      <c r="J169" s="158"/>
      <c r="K169" s="159"/>
      <c r="L169" s="158"/>
    </row>
    <row r="170" spans="1:12" ht="13.5">
      <c r="A170" s="157"/>
      <c r="B170" s="158"/>
      <c r="C170" s="73"/>
      <c r="D170" s="73"/>
      <c r="E170" s="74"/>
      <c r="F170" s="75"/>
      <c r="G170" s="158"/>
      <c r="H170" s="158"/>
      <c r="I170" s="158"/>
      <c r="J170" s="158"/>
      <c r="K170" s="159"/>
      <c r="L170" s="158"/>
    </row>
  </sheetData>
  <mergeCells count="46">
    <mergeCell ref="G6:H6"/>
    <mergeCell ref="A1:E1"/>
    <mergeCell ref="A2:E2"/>
    <mergeCell ref="A3:E3"/>
    <mergeCell ref="A5:D5"/>
    <mergeCell ref="E5:F5"/>
    <mergeCell ref="A6:B6"/>
    <mergeCell ref="E7:F7"/>
    <mergeCell ref="G7:H7"/>
    <mergeCell ref="A8:L8"/>
    <mergeCell ref="A9:A10"/>
    <mergeCell ref="B9:B10"/>
    <mergeCell ref="C9:C10"/>
    <mergeCell ref="D9:D10"/>
    <mergeCell ref="E9:E10"/>
    <mergeCell ref="F9:F10"/>
    <mergeCell ref="G9:H9"/>
    <mergeCell ref="I9:J9"/>
    <mergeCell ref="K9:L9"/>
    <mergeCell ref="A29:A30"/>
    <mergeCell ref="B29:B30"/>
    <mergeCell ref="C29:C30"/>
    <mergeCell ref="D29:D30"/>
    <mergeCell ref="E29:E30"/>
    <mergeCell ref="K29:L29"/>
    <mergeCell ref="A65:E65"/>
    <mergeCell ref="I29:J29"/>
    <mergeCell ref="F29:F30"/>
    <mergeCell ref="G29:H29"/>
    <mergeCell ref="A66:E66"/>
    <mergeCell ref="A67:E67"/>
    <mergeCell ref="E68:F68"/>
    <mergeCell ref="E69:F69"/>
    <mergeCell ref="A70:B70"/>
    <mergeCell ref="E70:F70"/>
    <mergeCell ref="G116:H116"/>
    <mergeCell ref="G70:H70"/>
    <mergeCell ref="E71:F71"/>
    <mergeCell ref="G71:H71"/>
    <mergeCell ref="E117:F117"/>
    <mergeCell ref="G117:H117"/>
    <mergeCell ref="A111:E111"/>
    <mergeCell ref="A112:E112"/>
    <mergeCell ref="A113:E113"/>
    <mergeCell ref="E115:F115"/>
    <mergeCell ref="A116:B116"/>
  </mergeCells>
  <conditionalFormatting sqref="S36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G7:H7">
    <cfRule type="cellIs" dxfId="4" priority="3" stopIfTrue="1" operator="notEqual">
      <formula>$F$35</formula>
    </cfRule>
  </conditionalFormatting>
  <conditionalFormatting sqref="U36">
    <cfRule type="cellIs" dxfId="3" priority="1" stopIfTrue="1" operator="equal">
      <formula>$L$36</formula>
    </cfRule>
    <cfRule type="cellIs" dxfId="2" priority="2" stopIfTrue="1" operator="notEqual">
      <formula>$L$36</formula>
    </cfRule>
  </conditionalFormatting>
  <printOptions horizontalCentered="1" verticalCentered="1"/>
  <pageMargins left="0.39370078740157483" right="0.39370078740157483" top="0.59055118110236227" bottom="0.98425196850393704" header="0.51181102362204722" footer="0.51181102362204722"/>
  <pageSetup paperSize="9" scale="21" orientation="landscape" r:id="rId1"/>
  <headerFooter alignWithMargins="0">
    <oddFooter>&amp;RCoordenação de Orçamento e Planejamento 
Eng. Civil Inácio Alves
CREA/BA: 25.577-D</oddFooter>
  </headerFooter>
  <rowBreaks count="1" manualBreakCount="1">
    <brk id="61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4"/>
  <sheetViews>
    <sheetView topLeftCell="A7" zoomScale="90" zoomScaleNormal="90" zoomScaleSheetLayoutView="100" workbookViewId="0">
      <selection activeCell="B22" sqref="B22"/>
    </sheetView>
  </sheetViews>
  <sheetFormatPr defaultRowHeight="14.25"/>
  <cols>
    <col min="1" max="1" width="10.28515625" style="211" customWidth="1"/>
    <col min="2" max="2" width="56.7109375" style="211" customWidth="1"/>
    <col min="3" max="3" width="18.7109375" style="211" customWidth="1"/>
    <col min="4" max="4" width="2" style="211" customWidth="1"/>
    <col min="5" max="5" width="17.140625" style="211" customWidth="1"/>
    <col min="6" max="6" width="1" style="211" customWidth="1"/>
    <col min="7" max="7" width="10.42578125" style="211" customWidth="1"/>
    <col min="8" max="8" width="11.42578125" style="211" customWidth="1"/>
    <col min="9" max="9" width="2.140625" style="211" customWidth="1"/>
    <col min="10" max="13" width="9.140625" style="211"/>
    <col min="14" max="14" width="69.7109375" style="211" customWidth="1"/>
    <col min="15" max="15" width="9.7109375" style="211" bestFit="1" customWidth="1"/>
    <col min="16" max="16" width="13.28515625" style="211" customWidth="1"/>
    <col min="17" max="17" width="14.42578125" style="211" customWidth="1"/>
    <col min="18" max="18" width="23.28515625" style="211" customWidth="1"/>
    <col min="19" max="16384" width="9.140625" style="211"/>
  </cols>
  <sheetData>
    <row r="1" spans="1:51" ht="25.5">
      <c r="A1" s="629" t="s">
        <v>812</v>
      </c>
      <c r="B1" s="630"/>
      <c r="C1" s="630"/>
      <c r="D1" s="630"/>
      <c r="E1" s="22"/>
      <c r="F1" s="5"/>
      <c r="G1" s="573"/>
      <c r="H1" s="574"/>
    </row>
    <row r="2" spans="1:51" ht="20.25">
      <c r="A2" s="631"/>
      <c r="B2" s="632"/>
      <c r="C2" s="632"/>
      <c r="D2" s="632"/>
      <c r="E2" s="280"/>
      <c r="F2" s="281"/>
      <c r="G2" s="571"/>
      <c r="H2" s="575"/>
    </row>
    <row r="3" spans="1:51" ht="15.75">
      <c r="A3" s="633"/>
      <c r="B3" s="634"/>
      <c r="C3" s="634"/>
      <c r="D3" s="634"/>
      <c r="E3" s="634"/>
      <c r="F3" s="6"/>
      <c r="G3" s="571"/>
      <c r="H3" s="575"/>
    </row>
    <row r="4" spans="1:51" ht="15.75">
      <c r="A4" s="27" t="s">
        <v>5</v>
      </c>
      <c r="B4" s="28"/>
      <c r="C4" s="29"/>
      <c r="D4" s="30"/>
      <c r="E4" s="640" t="s">
        <v>7</v>
      </c>
      <c r="F4" s="640"/>
      <c r="G4" s="571"/>
      <c r="H4" s="575"/>
    </row>
    <row r="5" spans="1:51" ht="20.25">
      <c r="A5" s="635" t="str">
        <f>SERVIÇOS!A5</f>
        <v>Construção da Coordenadoria de Tecnologias Educacionais da SEAD</v>
      </c>
      <c r="B5" s="636"/>
      <c r="C5" s="636"/>
      <c r="D5" s="636"/>
      <c r="E5" s="637" t="str">
        <f>SERVIÇOS!D5</f>
        <v>SETEMBRO/2017</v>
      </c>
      <c r="F5" s="637"/>
      <c r="G5" s="571"/>
      <c r="H5" s="575"/>
    </row>
    <row r="6" spans="1:51" ht="15.75">
      <c r="A6" s="638" t="s">
        <v>6</v>
      </c>
      <c r="B6" s="639"/>
      <c r="C6" s="639"/>
      <c r="D6" s="49"/>
      <c r="E6" s="640" t="s">
        <v>9</v>
      </c>
      <c r="F6" s="640"/>
      <c r="G6" s="571"/>
      <c r="H6" s="575"/>
    </row>
    <row r="7" spans="1:51" ht="16.5" thickBot="1">
      <c r="A7" s="576" t="str">
        <f>SERVIÇOS!A7</f>
        <v>Campus da Federação Universidade Federal da Bahia, Salvador - Bahia</v>
      </c>
      <c r="B7" s="577"/>
      <c r="C7" s="577"/>
      <c r="D7" s="112"/>
      <c r="E7" s="648">
        <f>SERVIÇOS!D7</f>
        <v>97.449999999999989</v>
      </c>
      <c r="F7" s="648"/>
      <c r="G7" s="578"/>
      <c r="H7" s="579"/>
    </row>
    <row r="8" spans="1:51" ht="15" thickBot="1"/>
    <row r="9" spans="1:51" s="179" customFormat="1" ht="14.25" customHeight="1">
      <c r="A9" s="771" t="s">
        <v>44</v>
      </c>
      <c r="B9" s="772"/>
      <c r="C9" s="772"/>
      <c r="D9" s="772"/>
      <c r="E9" s="773"/>
      <c r="F9" s="169"/>
      <c r="G9" s="170"/>
      <c r="H9" s="171"/>
      <c r="I9" s="172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  <c r="U9" s="175"/>
      <c r="V9" s="174"/>
      <c r="W9" s="174"/>
      <c r="X9" s="174"/>
      <c r="Y9" s="174"/>
      <c r="Z9" s="176"/>
      <c r="AA9" s="174"/>
      <c r="AB9" s="174"/>
      <c r="AC9" s="174"/>
      <c r="AD9" s="174"/>
      <c r="AE9" s="777"/>
      <c r="AF9" s="174"/>
      <c r="AG9" s="174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8"/>
    </row>
    <row r="10" spans="1:51" s="179" customFormat="1" ht="14.25" customHeight="1" thickBot="1">
      <c r="A10" s="774"/>
      <c r="B10" s="775"/>
      <c r="C10" s="775"/>
      <c r="D10" s="775"/>
      <c r="E10" s="776"/>
      <c r="F10" s="169"/>
      <c r="G10" s="180"/>
      <c r="H10" s="181"/>
      <c r="I10" s="172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4"/>
      <c r="U10" s="175"/>
      <c r="V10" s="174"/>
      <c r="W10" s="174"/>
      <c r="X10" s="174"/>
      <c r="Y10" s="174"/>
      <c r="Z10" s="176"/>
      <c r="AA10" s="174"/>
      <c r="AB10" s="174"/>
      <c r="AC10" s="174"/>
      <c r="AD10" s="174"/>
      <c r="AE10" s="777"/>
      <c r="AF10" s="174"/>
      <c r="AG10" s="174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8"/>
    </row>
    <row r="11" spans="1:51" s="179" customFormat="1" ht="4.5" customHeight="1" thickBot="1">
      <c r="A11" s="182"/>
      <c r="B11" s="183"/>
      <c r="C11" s="183"/>
      <c r="D11" s="183"/>
      <c r="E11" s="184"/>
      <c r="F11" s="185"/>
      <c r="G11" s="186"/>
      <c r="H11" s="181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175"/>
      <c r="V11" s="174"/>
      <c r="W11" s="174"/>
      <c r="X11" s="174"/>
      <c r="Y11" s="174"/>
      <c r="Z11" s="176"/>
      <c r="AA11" s="174"/>
      <c r="AB11" s="174"/>
      <c r="AC11" s="174"/>
      <c r="AD11" s="174"/>
      <c r="AE11" s="777"/>
      <c r="AF11" s="174"/>
      <c r="AG11" s="174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8"/>
    </row>
    <row r="12" spans="1:51" s="179" customFormat="1" ht="27" customHeight="1" thickBot="1">
      <c r="A12" s="778" t="str">
        <f>SERVIÇOS!A5</f>
        <v>Construção da Coordenadoria de Tecnologias Educacionais da SEAD</v>
      </c>
      <c r="B12" s="779"/>
      <c r="C12" s="780" t="s">
        <v>45</v>
      </c>
      <c r="D12" s="781"/>
      <c r="E12" s="187" t="s">
        <v>46</v>
      </c>
      <c r="F12" s="188"/>
      <c r="G12" s="189"/>
      <c r="H12" s="190"/>
      <c r="I12" s="172"/>
      <c r="J12" s="173"/>
      <c r="K12" s="173"/>
      <c r="L12" s="191"/>
      <c r="M12" s="782"/>
      <c r="N12" s="782"/>
      <c r="O12" s="782"/>
      <c r="P12" s="173"/>
      <c r="Q12" s="173"/>
      <c r="R12" s="173"/>
      <c r="S12" s="173"/>
      <c r="T12" s="173"/>
      <c r="U12" s="192"/>
      <c r="V12" s="193"/>
      <c r="W12" s="194"/>
      <c r="X12" s="195"/>
      <c r="Y12" s="196"/>
      <c r="Z12" s="197"/>
      <c r="AA12" s="198"/>
      <c r="AB12" s="199"/>
      <c r="AC12" s="199"/>
      <c r="AD12" s="199"/>
      <c r="AE12" s="777"/>
      <c r="AF12" s="198"/>
      <c r="AG12" s="173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8"/>
    </row>
    <row r="13" spans="1:51" s="179" customFormat="1" ht="14.25" customHeight="1" thickBot="1">
      <c r="A13" s="200" t="s">
        <v>47</v>
      </c>
      <c r="B13" s="201"/>
      <c r="C13" s="780" t="s">
        <v>48</v>
      </c>
      <c r="D13" s="781"/>
      <c r="E13" s="312" t="str">
        <f>SERVIÇOS!D5</f>
        <v>SETEMBRO/2017</v>
      </c>
      <c r="F13" s="202"/>
      <c r="G13" s="203"/>
      <c r="H13" s="204"/>
      <c r="I13" s="172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2"/>
      <c r="V13" s="193"/>
      <c r="W13" s="194"/>
      <c r="X13" s="195"/>
      <c r="Y13" s="205"/>
      <c r="Z13" s="206"/>
      <c r="AA13" s="207"/>
      <c r="AB13" s="208"/>
      <c r="AC13" s="208"/>
      <c r="AD13" s="208"/>
      <c r="AE13" s="777"/>
      <c r="AF13" s="207"/>
      <c r="AG13" s="173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8"/>
    </row>
    <row r="14" spans="1:51" s="210" customFormat="1" ht="13.5" thickBot="1">
      <c r="A14" s="751"/>
      <c r="B14" s="751"/>
      <c r="C14" s="751"/>
      <c r="D14" s="751"/>
      <c r="E14" s="751"/>
      <c r="F14" s="751"/>
      <c r="G14" s="751"/>
      <c r="H14" s="751"/>
      <c r="I14" s="209"/>
    </row>
    <row r="15" spans="1:51" ht="15.75" thickBot="1">
      <c r="A15" s="752" t="s">
        <v>49</v>
      </c>
      <c r="B15" s="753"/>
      <c r="C15" s="753"/>
      <c r="D15" s="753"/>
      <c r="E15" s="753"/>
      <c r="F15" s="753"/>
      <c r="G15" s="753"/>
      <c r="H15" s="754"/>
    </row>
    <row r="16" spans="1:51" ht="3.75" customHeight="1" thickBot="1">
      <c r="A16" s="212"/>
      <c r="B16" s="213"/>
      <c r="C16" s="213"/>
      <c r="D16" s="213"/>
      <c r="E16" s="213"/>
      <c r="F16" s="214"/>
      <c r="G16" s="214"/>
      <c r="H16" s="215"/>
    </row>
    <row r="17" spans="1:18" ht="15.75" thickBot="1">
      <c r="A17" s="752" t="s">
        <v>50</v>
      </c>
      <c r="B17" s="753"/>
      <c r="C17" s="754"/>
      <c r="D17" s="213"/>
      <c r="E17" s="755" t="s">
        <v>51</v>
      </c>
      <c r="F17" s="756"/>
      <c r="G17" s="757"/>
      <c r="H17" s="758"/>
    </row>
    <row r="18" spans="1:18" ht="22.5" customHeight="1">
      <c r="A18" s="763" t="s">
        <v>29</v>
      </c>
      <c r="B18" s="765" t="s">
        <v>52</v>
      </c>
      <c r="C18" s="767" t="s">
        <v>53</v>
      </c>
      <c r="D18" s="216"/>
      <c r="E18" s="759"/>
      <c r="F18" s="760"/>
      <c r="G18" s="761"/>
      <c r="H18" s="762"/>
      <c r="N18" s="217"/>
      <c r="O18" s="14"/>
      <c r="P18" s="15"/>
      <c r="Q18" s="16"/>
      <c r="R18" s="16"/>
    </row>
    <row r="19" spans="1:18" ht="18.75" thickBot="1">
      <c r="A19" s="764"/>
      <c r="B19" s="766"/>
      <c r="C19" s="768"/>
      <c r="D19" s="216"/>
      <c r="E19" s="218" t="s">
        <v>54</v>
      </c>
      <c r="F19" s="769" t="s">
        <v>55</v>
      </c>
      <c r="G19" s="770"/>
      <c r="H19" s="219" t="s">
        <v>56</v>
      </c>
      <c r="N19" s="217"/>
      <c r="O19" s="14"/>
      <c r="P19" s="15"/>
      <c r="Q19" s="16"/>
      <c r="R19" s="16"/>
    </row>
    <row r="20" spans="1:18" ht="3" customHeight="1" thickBot="1">
      <c r="A20" s="747"/>
      <c r="B20" s="748"/>
      <c r="C20" s="748"/>
      <c r="D20" s="220"/>
      <c r="E20" s="220"/>
      <c r="F20" s="214"/>
      <c r="G20" s="214"/>
      <c r="H20" s="215"/>
      <c r="N20" s="217"/>
      <c r="O20" s="38"/>
      <c r="P20" s="39"/>
      <c r="Q20" s="39"/>
      <c r="R20" s="39"/>
    </row>
    <row r="21" spans="1:18" ht="18">
      <c r="A21" s="221" t="s">
        <v>57</v>
      </c>
      <c r="B21" s="740" t="s">
        <v>58</v>
      </c>
      <c r="C21" s="741"/>
      <c r="D21" s="222"/>
      <c r="E21" s="223"/>
      <c r="F21" s="749"/>
      <c r="G21" s="750"/>
      <c r="H21" s="224"/>
      <c r="N21" s="39"/>
      <c r="O21" s="38"/>
      <c r="P21" s="40"/>
      <c r="Q21" s="39"/>
      <c r="R21" s="39"/>
    </row>
    <row r="22" spans="1:18" ht="18">
      <c r="A22" s="225" t="s">
        <v>59</v>
      </c>
      <c r="B22" s="226" t="s">
        <v>60</v>
      </c>
      <c r="C22" s="227"/>
      <c r="D22" s="228"/>
      <c r="E22" s="229">
        <v>8.0000000000000002E-3</v>
      </c>
      <c r="F22" s="734">
        <v>8.0000000000000002E-3</v>
      </c>
      <c r="G22" s="735"/>
      <c r="H22" s="230">
        <v>0.01</v>
      </c>
      <c r="N22" s="39"/>
      <c r="O22" s="41"/>
      <c r="P22" s="17"/>
      <c r="Q22" s="231"/>
      <c r="R22" s="232"/>
    </row>
    <row r="23" spans="1:18" ht="18">
      <c r="A23" s="225" t="s">
        <v>61</v>
      </c>
      <c r="B23" s="226" t="s">
        <v>62</v>
      </c>
      <c r="C23" s="227"/>
      <c r="D23" s="228"/>
      <c r="E23" s="229">
        <v>9.7000000000000003E-3</v>
      </c>
      <c r="F23" s="734">
        <v>1.2699999999999999E-2</v>
      </c>
      <c r="G23" s="735"/>
      <c r="H23" s="230">
        <v>1.2699999999999999E-2</v>
      </c>
      <c r="N23" s="39"/>
      <c r="O23" s="41"/>
      <c r="P23" s="17"/>
      <c r="Q23" s="42"/>
      <c r="R23" s="232"/>
    </row>
    <row r="24" spans="1:18" ht="18">
      <c r="A24" s="225" t="s">
        <v>63</v>
      </c>
      <c r="B24" s="226" t="s">
        <v>64</v>
      </c>
      <c r="C24" s="227"/>
      <c r="D24" s="228"/>
      <c r="E24" s="229">
        <v>5.8999999999999999E-3</v>
      </c>
      <c r="F24" s="734">
        <v>1.23E-2</v>
      </c>
      <c r="G24" s="735"/>
      <c r="H24" s="230">
        <v>1.3899999999999999E-2</v>
      </c>
      <c r="N24" s="39"/>
      <c r="O24" s="41"/>
      <c r="P24" s="17"/>
      <c r="Q24" s="42"/>
      <c r="R24" s="232"/>
    </row>
    <row r="25" spans="1:18" ht="18">
      <c r="A25" s="225" t="s">
        <v>65</v>
      </c>
      <c r="B25" s="226" t="s">
        <v>66</v>
      </c>
      <c r="C25" s="227"/>
      <c r="D25" s="228"/>
      <c r="E25" s="229">
        <v>0.03</v>
      </c>
      <c r="F25" s="734">
        <v>0.04</v>
      </c>
      <c r="G25" s="735"/>
      <c r="H25" s="230">
        <v>5.5E-2</v>
      </c>
      <c r="N25" s="39"/>
      <c r="O25" s="41"/>
      <c r="P25" s="17"/>
      <c r="Q25" s="42"/>
      <c r="R25" s="232"/>
    </row>
    <row r="26" spans="1:18" ht="18.75" thickBot="1">
      <c r="A26" s="703" t="s">
        <v>67</v>
      </c>
      <c r="B26" s="704"/>
      <c r="C26" s="233">
        <f>SUM(C22:C25)</f>
        <v>0</v>
      </c>
      <c r="D26" s="234"/>
      <c r="E26" s="235"/>
      <c r="F26" s="736"/>
      <c r="G26" s="737"/>
      <c r="H26" s="236"/>
      <c r="N26" s="39"/>
      <c r="O26" s="41"/>
      <c r="P26" s="17"/>
      <c r="Q26" s="42"/>
      <c r="R26" s="232"/>
    </row>
    <row r="27" spans="1:18" ht="3" customHeight="1" thickBot="1">
      <c r="A27" s="738"/>
      <c r="B27" s="739"/>
      <c r="C27" s="739"/>
      <c r="D27" s="237"/>
      <c r="E27" s="228"/>
      <c r="F27" s="228"/>
      <c r="G27" s="228"/>
      <c r="H27" s="238"/>
      <c r="N27" s="43"/>
      <c r="O27" s="43"/>
      <c r="P27" s="17"/>
      <c r="Q27" s="42"/>
      <c r="R27" s="239"/>
    </row>
    <row r="28" spans="1:18" ht="15" customHeight="1">
      <c r="A28" s="221" t="s">
        <v>68</v>
      </c>
      <c r="B28" s="740" t="s">
        <v>69</v>
      </c>
      <c r="C28" s="741"/>
      <c r="D28" s="222"/>
      <c r="E28" s="240"/>
      <c r="F28" s="745"/>
      <c r="G28" s="746"/>
      <c r="H28" s="241"/>
      <c r="N28" s="43"/>
      <c r="O28" s="43"/>
      <c r="P28" s="17"/>
      <c r="Q28" s="42"/>
      <c r="R28" s="239"/>
    </row>
    <row r="29" spans="1:18" ht="15" customHeight="1">
      <c r="A29" s="225" t="s">
        <v>70</v>
      </c>
      <c r="B29" s="226" t="s">
        <v>71</v>
      </c>
      <c r="C29" s="227"/>
      <c r="D29" s="228"/>
      <c r="E29" s="229">
        <v>6.1600000000000002E-2</v>
      </c>
      <c r="F29" s="734">
        <v>7.3999999999999996E-2</v>
      </c>
      <c r="G29" s="735"/>
      <c r="H29" s="230">
        <v>8.9599999999999999E-2</v>
      </c>
      <c r="N29" s="43"/>
      <c r="O29" s="43"/>
      <c r="P29" s="17"/>
      <c r="Q29" s="42"/>
      <c r="R29" s="239"/>
    </row>
    <row r="30" spans="1:18" ht="15" customHeight="1" thickBot="1">
      <c r="A30" s="703" t="s">
        <v>72</v>
      </c>
      <c r="B30" s="704"/>
      <c r="C30" s="233">
        <f>SUM(C29)</f>
        <v>0</v>
      </c>
      <c r="D30" s="234"/>
      <c r="E30" s="235"/>
      <c r="F30" s="736"/>
      <c r="G30" s="737"/>
      <c r="H30" s="236"/>
      <c r="N30" s="39"/>
      <c r="O30" s="43"/>
      <c r="P30" s="17"/>
      <c r="Q30" s="42"/>
      <c r="R30" s="239"/>
    </row>
    <row r="31" spans="1:18" ht="3" customHeight="1" thickBot="1">
      <c r="A31" s="738"/>
      <c r="B31" s="739"/>
      <c r="C31" s="739"/>
      <c r="D31" s="237"/>
      <c r="E31" s="228"/>
      <c r="F31" s="228"/>
      <c r="G31" s="228"/>
      <c r="H31" s="238"/>
      <c r="N31" s="39"/>
      <c r="O31" s="41"/>
      <c r="P31" s="17"/>
      <c r="Q31" s="42"/>
      <c r="R31" s="242"/>
    </row>
    <row r="32" spans="1:18" ht="15" customHeight="1">
      <c r="A32" s="221" t="s">
        <v>73</v>
      </c>
      <c r="B32" s="740" t="s">
        <v>74</v>
      </c>
      <c r="C32" s="741"/>
      <c r="D32" s="222"/>
      <c r="E32" s="742" t="s">
        <v>75</v>
      </c>
      <c r="F32" s="743"/>
      <c r="G32" s="743"/>
      <c r="H32" s="744"/>
      <c r="N32" s="39"/>
      <c r="O32" s="38"/>
      <c r="P32" s="39"/>
      <c r="Q32" s="42"/>
      <c r="R32" s="39"/>
    </row>
    <row r="33" spans="1:18" ht="15" customHeight="1">
      <c r="A33" s="225" t="s">
        <v>76</v>
      </c>
      <c r="B33" s="226" t="s">
        <v>77</v>
      </c>
      <c r="C33" s="227"/>
      <c r="D33" s="228"/>
      <c r="E33" s="720" t="s">
        <v>78</v>
      </c>
      <c r="F33" s="722" t="s">
        <v>79</v>
      </c>
      <c r="G33" s="722"/>
      <c r="H33" s="724" t="s">
        <v>80</v>
      </c>
      <c r="N33" s="39"/>
      <c r="O33" s="38"/>
      <c r="P33" s="39"/>
      <c r="Q33" s="42"/>
      <c r="R33" s="39"/>
    </row>
    <row r="34" spans="1:18" ht="18" customHeight="1" thickBot="1">
      <c r="A34" s="225" t="s">
        <v>81</v>
      </c>
      <c r="B34" s="226" t="s">
        <v>82</v>
      </c>
      <c r="C34" s="227"/>
      <c r="D34" s="228"/>
      <c r="E34" s="721"/>
      <c r="F34" s="723"/>
      <c r="G34" s="723"/>
      <c r="H34" s="725"/>
      <c r="N34" s="243"/>
      <c r="O34" s="38"/>
      <c r="P34" s="39"/>
      <c r="Q34" s="39"/>
      <c r="R34" s="39"/>
    </row>
    <row r="35" spans="1:18" ht="3.75" customHeight="1" thickBot="1">
      <c r="A35" s="726" t="s">
        <v>83</v>
      </c>
      <c r="B35" s="728" t="s">
        <v>84</v>
      </c>
      <c r="C35" s="730"/>
      <c r="D35" s="228"/>
      <c r="E35" s="245"/>
      <c r="F35" s="228"/>
      <c r="G35" s="228"/>
      <c r="H35" s="238"/>
      <c r="N35" s="39"/>
      <c r="O35" s="246"/>
      <c r="P35" s="247"/>
      <c r="Q35" s="39"/>
      <c r="R35" s="39"/>
    </row>
    <row r="36" spans="1:18" ht="13.5" customHeight="1" thickBot="1">
      <c r="A36" s="727"/>
      <c r="B36" s="729"/>
      <c r="C36" s="731"/>
      <c r="D36" s="228"/>
      <c r="E36" s="248">
        <v>0.05</v>
      </c>
      <c r="F36" s="732">
        <v>0.5</v>
      </c>
      <c r="G36" s="733"/>
      <c r="H36" s="249">
        <f>E36*F36</f>
        <v>2.5000000000000001E-2</v>
      </c>
      <c r="N36" s="250"/>
      <c r="O36" s="251"/>
      <c r="P36" s="252"/>
      <c r="Q36" s="253"/>
      <c r="R36" s="253"/>
    </row>
    <row r="37" spans="1:18" ht="15" customHeight="1" thickBot="1">
      <c r="A37" s="244" t="s">
        <v>85</v>
      </c>
      <c r="B37" s="254" t="s">
        <v>235</v>
      </c>
      <c r="C37" s="255"/>
      <c r="D37" s="228"/>
      <c r="E37" s="228"/>
      <c r="F37" s="702"/>
      <c r="G37" s="702"/>
      <c r="H37" s="238"/>
    </row>
    <row r="38" spans="1:18" ht="15" customHeight="1" thickBot="1">
      <c r="A38" s="703" t="s">
        <v>86</v>
      </c>
      <c r="B38" s="704"/>
      <c r="C38" s="233">
        <f>SUM(C33:C37)</f>
        <v>0</v>
      </c>
      <c r="D38" s="234"/>
      <c r="E38" s="705" t="s">
        <v>87</v>
      </c>
      <c r="F38" s="706"/>
      <c r="G38" s="706"/>
      <c r="H38" s="707"/>
    </row>
    <row r="39" spans="1:18" ht="6" customHeight="1">
      <c r="A39" s="711"/>
      <c r="B39" s="712"/>
      <c r="C39" s="712"/>
      <c r="D39" s="257"/>
      <c r="E39" s="708"/>
      <c r="F39" s="709"/>
      <c r="G39" s="709"/>
      <c r="H39" s="710"/>
    </row>
    <row r="40" spans="1:18">
      <c r="A40" s="258"/>
      <c r="B40" s="222" t="s">
        <v>88</v>
      </c>
      <c r="C40" s="259"/>
      <c r="D40" s="259"/>
      <c r="E40" s="708"/>
      <c r="F40" s="709"/>
      <c r="G40" s="709"/>
      <c r="H40" s="710"/>
    </row>
    <row r="41" spans="1:18" ht="3.75" customHeight="1" thickBot="1">
      <c r="A41" s="256"/>
      <c r="B41" s="257"/>
      <c r="C41" s="257"/>
      <c r="D41" s="257"/>
      <c r="E41" s="708"/>
      <c r="F41" s="709"/>
      <c r="G41" s="709"/>
      <c r="H41" s="710"/>
    </row>
    <row r="42" spans="1:18">
      <c r="A42" s="713" t="s">
        <v>89</v>
      </c>
      <c r="B42" s="714"/>
      <c r="C42" s="715"/>
      <c r="D42" s="198"/>
      <c r="E42" s="708"/>
      <c r="F42" s="709"/>
      <c r="G42" s="709"/>
      <c r="H42" s="710"/>
    </row>
    <row r="43" spans="1:18" ht="15" thickBot="1">
      <c r="A43" s="716"/>
      <c r="B43" s="717"/>
      <c r="C43" s="718"/>
      <c r="D43" s="198"/>
      <c r="E43" s="218" t="s">
        <v>90</v>
      </c>
      <c r="F43" s="719" t="s">
        <v>55</v>
      </c>
      <c r="G43" s="719"/>
      <c r="H43" s="219" t="s">
        <v>91</v>
      </c>
    </row>
    <row r="44" spans="1:18" ht="3.75" customHeight="1" thickBot="1">
      <c r="A44" s="260"/>
      <c r="B44" s="261"/>
      <c r="C44" s="262"/>
      <c r="D44" s="262"/>
      <c r="E44" s="262"/>
      <c r="F44" s="214"/>
      <c r="G44" s="214"/>
      <c r="H44" s="215"/>
    </row>
    <row r="45" spans="1:18" ht="16.5" thickBot="1">
      <c r="A45" s="694" t="s">
        <v>92</v>
      </c>
      <c r="B45" s="695"/>
      <c r="C45" s="698">
        <f>(((1+C25+C22+C23)*(1+C24)*(1+C30))/(1-C38))-1</f>
        <v>0</v>
      </c>
      <c r="D45" s="263"/>
      <c r="E45" s="248">
        <v>0.2034</v>
      </c>
      <c r="F45" s="700">
        <v>0.22120000000000001</v>
      </c>
      <c r="G45" s="701"/>
      <c r="H45" s="264">
        <v>0.25</v>
      </c>
    </row>
    <row r="46" spans="1:18" ht="16.5" thickBot="1">
      <c r="A46" s="696"/>
      <c r="B46" s="697"/>
      <c r="C46" s="699"/>
      <c r="D46" s="265"/>
      <c r="E46" s="265"/>
      <c r="F46" s="266"/>
      <c r="G46" s="266"/>
      <c r="H46" s="267"/>
    </row>
    <row r="48" spans="1:18" ht="18">
      <c r="B48" s="268" t="s">
        <v>93</v>
      </c>
    </row>
    <row r="50" spans="2:4" ht="18">
      <c r="D50" s="269"/>
    </row>
    <row r="54" spans="2:4">
      <c r="B54" s="270"/>
    </row>
  </sheetData>
  <sheetProtection password="CC27" sheet="1"/>
  <mergeCells count="57">
    <mergeCell ref="A6:C6"/>
    <mergeCell ref="E6:F6"/>
    <mergeCell ref="E7:F7"/>
    <mergeCell ref="A1:D1"/>
    <mergeCell ref="A2:D2"/>
    <mergeCell ref="A3:E3"/>
    <mergeCell ref="E4:F4"/>
    <mergeCell ref="A5:D5"/>
    <mergeCell ref="E5:F5"/>
    <mergeCell ref="A9:E10"/>
    <mergeCell ref="AE9:AE13"/>
    <mergeCell ref="A12:B12"/>
    <mergeCell ref="C12:D12"/>
    <mergeCell ref="M12:O12"/>
    <mergeCell ref="C13:D13"/>
    <mergeCell ref="A14:H14"/>
    <mergeCell ref="A15:H15"/>
    <mergeCell ref="A17:C17"/>
    <mergeCell ref="E17:H18"/>
    <mergeCell ref="A18:A19"/>
    <mergeCell ref="B18:B19"/>
    <mergeCell ref="C18:C19"/>
    <mergeCell ref="F19:G19"/>
    <mergeCell ref="A20:C20"/>
    <mergeCell ref="B21:C21"/>
    <mergeCell ref="F21:G21"/>
    <mergeCell ref="F22:G22"/>
    <mergeCell ref="F23:G23"/>
    <mergeCell ref="F24:G24"/>
    <mergeCell ref="F25:G25"/>
    <mergeCell ref="A26:B26"/>
    <mergeCell ref="F26:G26"/>
    <mergeCell ref="A27:C27"/>
    <mergeCell ref="B28:C28"/>
    <mergeCell ref="F28:G28"/>
    <mergeCell ref="F29:G29"/>
    <mergeCell ref="A30:B30"/>
    <mergeCell ref="F30:G30"/>
    <mergeCell ref="A31:C31"/>
    <mergeCell ref="B32:C32"/>
    <mergeCell ref="E32:H32"/>
    <mergeCell ref="E33:E34"/>
    <mergeCell ref="F33:G34"/>
    <mergeCell ref="H33:H34"/>
    <mergeCell ref="A35:A36"/>
    <mergeCell ref="B35:B36"/>
    <mergeCell ref="C35:C36"/>
    <mergeCell ref="F36:G36"/>
    <mergeCell ref="A45:B46"/>
    <mergeCell ref="C45:C46"/>
    <mergeCell ref="F45:G45"/>
    <mergeCell ref="F37:G37"/>
    <mergeCell ref="A38:B38"/>
    <mergeCell ref="E38:H42"/>
    <mergeCell ref="A39:C39"/>
    <mergeCell ref="A42:C43"/>
    <mergeCell ref="F43:G43"/>
  </mergeCells>
  <conditionalFormatting sqref="L12 U12:V13 Y12:AD13 AF12:AG13 O13 Q9:S11 AK9:AK13 AM9:AX13 T9:T13 AZ9:HH13 O9:O11 I9:I13 E11:H11 B11:C11 A11:A13 A9 E12:E13 B13">
    <cfRule type="cellIs" dxfId="1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94" orientation="landscape" r:id="rId1"/>
  <headerFooter>
    <oddFooter>&amp;L&amp;A&amp;RPágina &amp;P de &amp;N</oddFooter>
  </headerFooter>
  <colBreaks count="1" manualBreakCount="1">
    <brk id="8" min="8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topLeftCell="A5" zoomScale="90" zoomScaleNormal="90" zoomScaleSheetLayoutView="100" workbookViewId="0">
      <selection activeCell="J19" sqref="J19"/>
    </sheetView>
  </sheetViews>
  <sheetFormatPr defaultRowHeight="14.25"/>
  <cols>
    <col min="1" max="1" width="10.28515625" style="211" customWidth="1"/>
    <col min="2" max="2" width="56.7109375" style="211" customWidth="1"/>
    <col min="3" max="3" width="18.7109375" style="211" customWidth="1"/>
    <col min="4" max="4" width="2" style="211" customWidth="1"/>
    <col min="5" max="5" width="17.140625" style="211" customWidth="1"/>
    <col min="6" max="6" width="1" style="211" customWidth="1"/>
    <col min="7" max="7" width="10.42578125" style="211" customWidth="1"/>
    <col min="8" max="8" width="11.42578125" style="211" customWidth="1"/>
    <col min="9" max="9" width="2.140625" style="211" customWidth="1"/>
    <col min="10" max="12" width="9.140625" style="211"/>
    <col min="13" max="13" width="9.140625" style="211" customWidth="1"/>
    <col min="14" max="14" width="9.140625" style="211"/>
    <col min="15" max="15" width="9.140625" style="211" customWidth="1"/>
    <col min="16" max="16384" width="9.140625" style="211"/>
  </cols>
  <sheetData>
    <row r="1" spans="1:51" ht="25.5">
      <c r="A1" s="629" t="s">
        <v>813</v>
      </c>
      <c r="B1" s="630"/>
      <c r="C1" s="630"/>
      <c r="D1" s="630"/>
      <c r="E1" s="22"/>
      <c r="F1" s="5"/>
      <c r="G1" s="573"/>
      <c r="H1" s="574"/>
    </row>
    <row r="2" spans="1:51" ht="20.25">
      <c r="A2" s="631"/>
      <c r="B2" s="632"/>
      <c r="C2" s="632"/>
      <c r="D2" s="632"/>
      <c r="E2" s="280"/>
      <c r="F2" s="281"/>
      <c r="G2" s="571"/>
      <c r="H2" s="575"/>
    </row>
    <row r="3" spans="1:51" ht="15.75">
      <c r="A3" s="633"/>
      <c r="B3" s="634"/>
      <c r="C3" s="634"/>
      <c r="D3" s="634"/>
      <c r="E3" s="634"/>
      <c r="F3" s="6"/>
      <c r="G3" s="571"/>
      <c r="H3" s="575"/>
    </row>
    <row r="4" spans="1:51" ht="15.75">
      <c r="A4" s="27" t="s">
        <v>5</v>
      </c>
      <c r="B4" s="28"/>
      <c r="C4" s="29"/>
      <c r="D4" s="30"/>
      <c r="E4" s="640" t="s">
        <v>7</v>
      </c>
      <c r="F4" s="640"/>
      <c r="G4" s="571"/>
      <c r="H4" s="575"/>
    </row>
    <row r="5" spans="1:51" ht="20.25">
      <c r="A5" s="635" t="str">
        <f>SERVIÇOS!A5</f>
        <v>Construção da Coordenadoria de Tecnologias Educacionais da SEAD</v>
      </c>
      <c r="B5" s="636"/>
      <c r="C5" s="636"/>
      <c r="D5" s="636"/>
      <c r="E5" s="637" t="str">
        <f>SERVIÇOS!D5</f>
        <v>SETEMBRO/2017</v>
      </c>
      <c r="F5" s="637"/>
      <c r="G5" s="571"/>
      <c r="H5" s="575"/>
    </row>
    <row r="6" spans="1:51" ht="15.75">
      <c r="A6" s="638" t="s">
        <v>6</v>
      </c>
      <c r="B6" s="639"/>
      <c r="C6" s="639"/>
      <c r="D6" s="49"/>
      <c r="E6" s="640" t="s">
        <v>9</v>
      </c>
      <c r="F6" s="640"/>
      <c r="G6" s="571"/>
      <c r="H6" s="575"/>
    </row>
    <row r="7" spans="1:51" ht="16.5" thickBot="1">
      <c r="A7" s="576" t="str">
        <f>SERVIÇOS!A7</f>
        <v>Campus da Federação Universidade Federal da Bahia, Salvador - Bahia</v>
      </c>
      <c r="B7" s="577"/>
      <c r="C7" s="577"/>
      <c r="D7" s="112"/>
      <c r="E7" s="648">
        <f>SERVIÇOS!D7</f>
        <v>97.449999999999989</v>
      </c>
      <c r="F7" s="648"/>
      <c r="G7" s="578"/>
      <c r="H7" s="579"/>
    </row>
    <row r="8" spans="1:51" ht="15" thickBot="1"/>
    <row r="9" spans="1:51" s="179" customFormat="1" ht="14.25" customHeight="1">
      <c r="A9" s="771" t="s">
        <v>44</v>
      </c>
      <c r="B9" s="772"/>
      <c r="C9" s="772"/>
      <c r="D9" s="772"/>
      <c r="E9" s="773"/>
      <c r="F9" s="169"/>
      <c r="G9" s="170"/>
      <c r="H9" s="171"/>
      <c r="I9" s="172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  <c r="U9" s="175"/>
      <c r="V9" s="174"/>
      <c r="W9" s="174"/>
      <c r="X9" s="174"/>
      <c r="Y9" s="174"/>
      <c r="Z9" s="176"/>
      <c r="AA9" s="174"/>
      <c r="AB9" s="174"/>
      <c r="AC9" s="174"/>
      <c r="AD9" s="174"/>
      <c r="AE9" s="777"/>
      <c r="AF9" s="174"/>
      <c r="AG9" s="174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8"/>
    </row>
    <row r="10" spans="1:51" s="179" customFormat="1" ht="14.25" customHeight="1" thickBot="1">
      <c r="A10" s="774"/>
      <c r="B10" s="775"/>
      <c r="C10" s="775"/>
      <c r="D10" s="775"/>
      <c r="E10" s="776"/>
      <c r="F10" s="169"/>
      <c r="G10" s="180"/>
      <c r="H10" s="181"/>
      <c r="I10" s="172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4"/>
      <c r="U10" s="175"/>
      <c r="V10" s="174"/>
      <c r="W10" s="174"/>
      <c r="X10" s="174"/>
      <c r="Y10" s="174"/>
      <c r="Z10" s="176"/>
      <c r="AA10" s="174"/>
      <c r="AB10" s="174"/>
      <c r="AC10" s="174"/>
      <c r="AD10" s="174"/>
      <c r="AE10" s="777"/>
      <c r="AF10" s="174"/>
      <c r="AG10" s="174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8"/>
    </row>
    <row r="11" spans="1:51" s="179" customFormat="1" ht="4.5" customHeight="1" thickBot="1">
      <c r="A11" s="182"/>
      <c r="B11" s="183"/>
      <c r="C11" s="183"/>
      <c r="D11" s="183"/>
      <c r="E11" s="184"/>
      <c r="F11" s="185"/>
      <c r="G11" s="186"/>
      <c r="H11" s="181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175"/>
      <c r="V11" s="174"/>
      <c r="W11" s="174"/>
      <c r="X11" s="174"/>
      <c r="Y11" s="174"/>
      <c r="Z11" s="176"/>
      <c r="AA11" s="174"/>
      <c r="AB11" s="174"/>
      <c r="AC11" s="174"/>
      <c r="AD11" s="174"/>
      <c r="AE11" s="777"/>
      <c r="AF11" s="174"/>
      <c r="AG11" s="174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8"/>
    </row>
    <row r="12" spans="1:51" s="179" customFormat="1" ht="27" customHeight="1" thickBot="1">
      <c r="A12" s="778" t="str">
        <f>'BDI OBRAS'!A12:B12</f>
        <v>Construção da Coordenadoria de Tecnologias Educacionais da SEAD</v>
      </c>
      <c r="B12" s="779"/>
      <c r="C12" s="780" t="s">
        <v>45</v>
      </c>
      <c r="D12" s="781"/>
      <c r="E12" s="187" t="s">
        <v>46</v>
      </c>
      <c r="F12" s="188"/>
      <c r="G12" s="189"/>
      <c r="H12" s="190"/>
      <c r="I12" s="172"/>
      <c r="J12" s="173"/>
      <c r="K12" s="173"/>
      <c r="L12" s="191"/>
      <c r="M12" s="782"/>
      <c r="N12" s="782"/>
      <c r="O12" s="782"/>
      <c r="P12" s="173"/>
      <c r="Q12" s="173"/>
      <c r="R12" s="173"/>
      <c r="S12" s="173"/>
      <c r="T12" s="173"/>
      <c r="U12" s="192"/>
      <c r="V12" s="193"/>
      <c r="W12" s="194"/>
      <c r="X12" s="195"/>
      <c r="Y12" s="196"/>
      <c r="Z12" s="197"/>
      <c r="AA12" s="198"/>
      <c r="AB12" s="199"/>
      <c r="AC12" s="199"/>
      <c r="AD12" s="199"/>
      <c r="AE12" s="777"/>
      <c r="AF12" s="198"/>
      <c r="AG12" s="173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8"/>
    </row>
    <row r="13" spans="1:51" s="179" customFormat="1" ht="14.25" customHeight="1" thickBot="1">
      <c r="A13" s="200" t="s">
        <v>47</v>
      </c>
      <c r="B13" s="201"/>
      <c r="C13" s="780" t="s">
        <v>48</v>
      </c>
      <c r="D13" s="781"/>
      <c r="E13" s="313" t="str">
        <f>'BDI OBRAS'!E13</f>
        <v>SETEMBRO/2017</v>
      </c>
      <c r="F13" s="202"/>
      <c r="G13" s="203"/>
      <c r="H13" s="204"/>
      <c r="I13" s="172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2"/>
      <c r="V13" s="193"/>
      <c r="W13" s="194"/>
      <c r="X13" s="195"/>
      <c r="Y13" s="205"/>
      <c r="Z13" s="206"/>
      <c r="AA13" s="207"/>
      <c r="AB13" s="208"/>
      <c r="AC13" s="208"/>
      <c r="AD13" s="208"/>
      <c r="AE13" s="777"/>
      <c r="AF13" s="207"/>
      <c r="AG13" s="173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8"/>
    </row>
    <row r="14" spans="1:51" s="210" customFormat="1" ht="13.5" thickBot="1">
      <c r="A14" s="751"/>
      <c r="B14" s="751"/>
      <c r="C14" s="751"/>
      <c r="D14" s="751"/>
      <c r="E14" s="751"/>
      <c r="F14" s="751"/>
      <c r="G14" s="751"/>
      <c r="H14" s="751"/>
      <c r="I14" s="209"/>
    </row>
    <row r="15" spans="1:51" ht="15.75" thickBot="1">
      <c r="A15" s="752" t="s">
        <v>94</v>
      </c>
      <c r="B15" s="753"/>
      <c r="C15" s="753"/>
      <c r="D15" s="753"/>
      <c r="E15" s="753"/>
      <c r="F15" s="753"/>
      <c r="G15" s="753"/>
      <c r="H15" s="754"/>
    </row>
    <row r="16" spans="1:51" ht="3.75" customHeight="1" thickBot="1">
      <c r="A16" s="212"/>
      <c r="B16" s="213"/>
      <c r="C16" s="213"/>
      <c r="D16" s="213"/>
      <c r="E16" s="213"/>
      <c r="F16" s="214"/>
      <c r="G16" s="214"/>
      <c r="H16" s="215"/>
    </row>
    <row r="17" spans="1:11" ht="15.75" thickBot="1">
      <c r="A17" s="752" t="s">
        <v>50</v>
      </c>
      <c r="B17" s="753"/>
      <c r="C17" s="754"/>
      <c r="D17" s="213"/>
      <c r="E17" s="755" t="s">
        <v>95</v>
      </c>
      <c r="F17" s="756"/>
      <c r="G17" s="757"/>
      <c r="H17" s="758"/>
    </row>
    <row r="18" spans="1:11" ht="23.25" customHeight="1">
      <c r="A18" s="763" t="s">
        <v>29</v>
      </c>
      <c r="B18" s="765" t="s">
        <v>52</v>
      </c>
      <c r="C18" s="767" t="s">
        <v>53</v>
      </c>
      <c r="D18" s="216"/>
      <c r="E18" s="759"/>
      <c r="F18" s="760"/>
      <c r="G18" s="761"/>
      <c r="H18" s="762"/>
    </row>
    <row r="19" spans="1:11" ht="15" thickBot="1">
      <c r="A19" s="764"/>
      <c r="B19" s="766"/>
      <c r="C19" s="768"/>
      <c r="D19" s="216"/>
      <c r="E19" s="218" t="s">
        <v>54</v>
      </c>
      <c r="F19" s="769" t="s">
        <v>55</v>
      </c>
      <c r="G19" s="770"/>
      <c r="H19" s="219" t="s">
        <v>56</v>
      </c>
    </row>
    <row r="20" spans="1:11" ht="3" customHeight="1" thickBot="1">
      <c r="A20" s="747"/>
      <c r="B20" s="748"/>
      <c r="C20" s="748"/>
      <c r="D20" s="220"/>
      <c r="E20" s="220"/>
      <c r="F20" s="214"/>
      <c r="G20" s="214"/>
      <c r="H20" s="215"/>
    </row>
    <row r="21" spans="1:11">
      <c r="A21" s="221" t="s">
        <v>57</v>
      </c>
      <c r="B21" s="740" t="s">
        <v>58</v>
      </c>
      <c r="C21" s="741"/>
      <c r="D21" s="222"/>
      <c r="E21" s="223"/>
      <c r="F21" s="749"/>
      <c r="G21" s="750"/>
      <c r="H21" s="224"/>
    </row>
    <row r="22" spans="1:11">
      <c r="A22" s="225" t="s">
        <v>59</v>
      </c>
      <c r="B22" s="226" t="s">
        <v>60</v>
      </c>
      <c r="C22" s="227"/>
      <c r="D22" s="228"/>
      <c r="E22" s="229">
        <v>3.0000000000000001E-3</v>
      </c>
      <c r="F22" s="734">
        <v>4.7999999999999996E-3</v>
      </c>
      <c r="G22" s="735"/>
      <c r="H22" s="230">
        <v>8.2000000000000007E-3</v>
      </c>
    </row>
    <row r="23" spans="1:11">
      <c r="A23" s="225" t="s">
        <v>61</v>
      </c>
      <c r="B23" s="226" t="s">
        <v>62</v>
      </c>
      <c r="C23" s="227"/>
      <c r="D23" s="228"/>
      <c r="E23" s="229">
        <v>5.5999999999999999E-3</v>
      </c>
      <c r="F23" s="734">
        <v>8.5000000000000006E-3</v>
      </c>
      <c r="G23" s="735"/>
      <c r="H23" s="230">
        <v>8.8999999999999999E-3</v>
      </c>
    </row>
    <row r="24" spans="1:11">
      <c r="A24" s="225" t="s">
        <v>63</v>
      </c>
      <c r="B24" s="226" t="s">
        <v>64</v>
      </c>
      <c r="C24" s="227"/>
      <c r="D24" s="228"/>
      <c r="E24" s="229">
        <v>8.5000000000000006E-3</v>
      </c>
      <c r="F24" s="734">
        <v>8.5000000000000006E-3</v>
      </c>
      <c r="G24" s="735"/>
      <c r="H24" s="230">
        <v>1.11E-2</v>
      </c>
    </row>
    <row r="25" spans="1:11">
      <c r="A25" s="225" t="s">
        <v>65</v>
      </c>
      <c r="B25" s="226" t="s">
        <v>66</v>
      </c>
      <c r="C25" s="227"/>
      <c r="D25" s="228"/>
      <c r="E25" s="229">
        <v>1.4999999999999999E-2</v>
      </c>
      <c r="F25" s="734">
        <v>3.4500000000000003E-2</v>
      </c>
      <c r="G25" s="735"/>
      <c r="H25" s="230">
        <v>4.4900000000000002E-2</v>
      </c>
    </row>
    <row r="26" spans="1:11" ht="15" thickBot="1">
      <c r="A26" s="703" t="s">
        <v>67</v>
      </c>
      <c r="B26" s="704"/>
      <c r="C26" s="233">
        <f>SUM(C22:C25)</f>
        <v>0</v>
      </c>
      <c r="D26" s="234"/>
      <c r="E26" s="235"/>
      <c r="F26" s="736"/>
      <c r="G26" s="737"/>
      <c r="H26" s="236"/>
      <c r="K26" s="271"/>
    </row>
    <row r="27" spans="1:11" ht="3" customHeight="1" thickBot="1">
      <c r="A27" s="738"/>
      <c r="B27" s="739"/>
      <c r="C27" s="739"/>
      <c r="D27" s="237"/>
      <c r="E27" s="228"/>
      <c r="F27" s="228"/>
      <c r="G27" s="228"/>
      <c r="H27" s="238"/>
    </row>
    <row r="28" spans="1:11">
      <c r="A28" s="221" t="s">
        <v>68</v>
      </c>
      <c r="B28" s="740" t="s">
        <v>69</v>
      </c>
      <c r="C28" s="741"/>
      <c r="D28" s="222"/>
      <c r="E28" s="240"/>
      <c r="F28" s="745"/>
      <c r="G28" s="746"/>
      <c r="H28" s="241"/>
    </row>
    <row r="29" spans="1:11">
      <c r="A29" s="225" t="s">
        <v>96</v>
      </c>
      <c r="B29" s="226" t="s">
        <v>71</v>
      </c>
      <c r="C29" s="227"/>
      <c r="D29" s="228"/>
      <c r="E29" s="229">
        <v>3.5000000000000003E-2</v>
      </c>
      <c r="F29" s="734">
        <v>5.11E-2</v>
      </c>
      <c r="G29" s="735"/>
      <c r="H29" s="230">
        <v>6.2199999999999998E-2</v>
      </c>
    </row>
    <row r="30" spans="1:11" ht="15" thickBot="1">
      <c r="A30" s="703" t="s">
        <v>72</v>
      </c>
      <c r="B30" s="704"/>
      <c r="C30" s="233">
        <f>SUM(C29)</f>
        <v>0</v>
      </c>
      <c r="D30" s="234"/>
      <c r="E30" s="235"/>
      <c r="F30" s="736"/>
      <c r="G30" s="737"/>
      <c r="H30" s="236"/>
    </row>
    <row r="31" spans="1:11" ht="3" customHeight="1" thickBot="1">
      <c r="A31" s="738"/>
      <c r="B31" s="739"/>
      <c r="C31" s="739"/>
      <c r="D31" s="237"/>
      <c r="E31" s="228"/>
      <c r="F31" s="228"/>
      <c r="G31" s="228"/>
      <c r="H31" s="238"/>
    </row>
    <row r="32" spans="1:11">
      <c r="A32" s="221" t="s">
        <v>73</v>
      </c>
      <c r="B32" s="740" t="s">
        <v>74</v>
      </c>
      <c r="C32" s="741"/>
      <c r="D32" s="222"/>
      <c r="E32" s="272"/>
      <c r="F32" s="272"/>
      <c r="G32" s="272"/>
      <c r="H32" s="273"/>
    </row>
    <row r="33" spans="1:11">
      <c r="A33" s="225" t="s">
        <v>97</v>
      </c>
      <c r="B33" s="226" t="s">
        <v>77</v>
      </c>
      <c r="C33" s="227"/>
      <c r="D33" s="228"/>
      <c r="E33" s="274"/>
      <c r="F33" s="275"/>
      <c r="G33" s="275"/>
      <c r="H33" s="276"/>
    </row>
    <row r="34" spans="1:11" ht="14.25" customHeight="1">
      <c r="A34" s="225" t="s">
        <v>98</v>
      </c>
      <c r="B34" s="226" t="s">
        <v>82</v>
      </c>
      <c r="C34" s="227"/>
      <c r="D34" s="228"/>
      <c r="E34" s="274"/>
      <c r="F34" s="275"/>
      <c r="G34" s="275"/>
      <c r="H34" s="276"/>
    </row>
    <row r="35" spans="1:11" ht="14.25" customHeight="1">
      <c r="A35" s="225" t="s">
        <v>99</v>
      </c>
      <c r="B35" s="226" t="s">
        <v>84</v>
      </c>
      <c r="C35" s="227"/>
      <c r="D35" s="228"/>
      <c r="E35" s="274"/>
      <c r="F35" s="275"/>
      <c r="G35" s="275"/>
      <c r="H35" s="276"/>
    </row>
    <row r="36" spans="1:11" ht="15" thickBot="1">
      <c r="A36" s="244" t="s">
        <v>100</v>
      </c>
      <c r="B36" s="254" t="s">
        <v>235</v>
      </c>
      <c r="C36" s="227"/>
      <c r="D36" s="228"/>
      <c r="E36" s="228"/>
      <c r="F36" s="277"/>
      <c r="G36" s="277"/>
      <c r="H36" s="238"/>
    </row>
    <row r="37" spans="1:11" ht="15" thickBot="1">
      <c r="A37" s="703" t="s">
        <v>86</v>
      </c>
      <c r="B37" s="704"/>
      <c r="C37" s="233">
        <f>SUM(C33:C36)</f>
        <v>0</v>
      </c>
      <c r="D37" s="234"/>
      <c r="E37" s="705" t="s">
        <v>101</v>
      </c>
      <c r="F37" s="706"/>
      <c r="G37" s="706"/>
      <c r="H37" s="707"/>
    </row>
    <row r="38" spans="1:11" ht="3" customHeight="1">
      <c r="A38" s="711"/>
      <c r="B38" s="712"/>
      <c r="C38" s="712"/>
      <c r="D38" s="257"/>
      <c r="E38" s="708"/>
      <c r="F38" s="709"/>
      <c r="G38" s="709"/>
      <c r="H38" s="710"/>
    </row>
    <row r="39" spans="1:11">
      <c r="A39" s="258"/>
      <c r="B39" s="222" t="s">
        <v>88</v>
      </c>
      <c r="C39" s="259"/>
      <c r="D39" s="259"/>
      <c r="E39" s="708"/>
      <c r="F39" s="709"/>
      <c r="G39" s="709"/>
      <c r="H39" s="710"/>
    </row>
    <row r="40" spans="1:11" ht="2.25" customHeight="1" thickBot="1">
      <c r="A40" s="256"/>
      <c r="B40" s="257"/>
      <c r="C40" s="257"/>
      <c r="D40" s="257"/>
      <c r="E40" s="708"/>
      <c r="F40" s="709"/>
      <c r="G40" s="709"/>
      <c r="H40" s="710"/>
    </row>
    <row r="41" spans="1:11">
      <c r="A41" s="713" t="s">
        <v>102</v>
      </c>
      <c r="B41" s="714"/>
      <c r="C41" s="715"/>
      <c r="D41" s="198"/>
      <c r="E41" s="708"/>
      <c r="F41" s="709"/>
      <c r="G41" s="709"/>
      <c r="H41" s="710"/>
    </row>
    <row r="42" spans="1:11" ht="15" thickBot="1">
      <c r="A42" s="716"/>
      <c r="B42" s="717"/>
      <c r="C42" s="718"/>
      <c r="D42" s="198"/>
      <c r="E42" s="218" t="s">
        <v>90</v>
      </c>
      <c r="F42" s="719" t="s">
        <v>55</v>
      </c>
      <c r="G42" s="719"/>
      <c r="H42" s="219" t="s">
        <v>91</v>
      </c>
    </row>
    <row r="43" spans="1:11" ht="2.25" customHeight="1" thickBot="1">
      <c r="A43" s="260"/>
      <c r="B43" s="261"/>
      <c r="C43" s="262"/>
      <c r="D43" s="262"/>
      <c r="E43" s="262"/>
      <c r="F43" s="214"/>
      <c r="G43" s="214"/>
      <c r="H43" s="215"/>
    </row>
    <row r="44" spans="1:11" ht="16.5" thickBot="1">
      <c r="A44" s="694" t="s">
        <v>92</v>
      </c>
      <c r="B44" s="695"/>
      <c r="C44" s="698">
        <f>(((1+C25+C22+C23)*(1+C24)*(1+C30))/(1-C37))-1</f>
        <v>0</v>
      </c>
      <c r="D44" s="263"/>
      <c r="E44" s="248">
        <v>0.111</v>
      </c>
      <c r="F44" s="700">
        <v>0.14019999999999999</v>
      </c>
      <c r="G44" s="701"/>
      <c r="H44" s="264">
        <v>0.16800000000000001</v>
      </c>
    </row>
    <row r="45" spans="1:11" ht="16.5" thickBot="1">
      <c r="A45" s="696"/>
      <c r="B45" s="697"/>
      <c r="C45" s="699"/>
      <c r="D45" s="265"/>
      <c r="E45" s="265"/>
      <c r="F45" s="266"/>
      <c r="G45" s="266"/>
      <c r="H45" s="267"/>
      <c r="K45" s="271"/>
    </row>
    <row r="47" spans="1:11" ht="18">
      <c r="B47" s="268" t="s">
        <v>93</v>
      </c>
    </row>
    <row r="49" spans="2:4" ht="18">
      <c r="D49" s="269"/>
    </row>
    <row r="53" spans="2:4">
      <c r="B53" s="270"/>
    </row>
  </sheetData>
  <sheetProtection password="CC27" sheet="1"/>
  <mergeCells count="48">
    <mergeCell ref="A6:C6"/>
    <mergeCell ref="E6:F6"/>
    <mergeCell ref="E7:F7"/>
    <mergeCell ref="A1:D1"/>
    <mergeCell ref="A2:D2"/>
    <mergeCell ref="A3:E3"/>
    <mergeCell ref="E4:F4"/>
    <mergeCell ref="A5:D5"/>
    <mergeCell ref="E5:F5"/>
    <mergeCell ref="A9:E10"/>
    <mergeCell ref="AE9:AE13"/>
    <mergeCell ref="A12:B12"/>
    <mergeCell ref="C12:D12"/>
    <mergeCell ref="M12:O12"/>
    <mergeCell ref="C13:D13"/>
    <mergeCell ref="A14:H14"/>
    <mergeCell ref="A15:H15"/>
    <mergeCell ref="A17:C17"/>
    <mergeCell ref="E17:H18"/>
    <mergeCell ref="A18:A19"/>
    <mergeCell ref="B18:B19"/>
    <mergeCell ref="C18:C19"/>
    <mergeCell ref="F19:G19"/>
    <mergeCell ref="A20:C20"/>
    <mergeCell ref="B21:C21"/>
    <mergeCell ref="F21:G21"/>
    <mergeCell ref="F22:G22"/>
    <mergeCell ref="F23:G23"/>
    <mergeCell ref="F24:G24"/>
    <mergeCell ref="A38:C38"/>
    <mergeCell ref="A41:C42"/>
    <mergeCell ref="F42:G42"/>
    <mergeCell ref="F25:G25"/>
    <mergeCell ref="A26:B26"/>
    <mergeCell ref="F26:G26"/>
    <mergeCell ref="A27:C27"/>
    <mergeCell ref="B28:C28"/>
    <mergeCell ref="F28:G28"/>
    <mergeCell ref="A44:B45"/>
    <mergeCell ref="C44:C45"/>
    <mergeCell ref="F44:G44"/>
    <mergeCell ref="F29:G29"/>
    <mergeCell ref="A30:B30"/>
    <mergeCell ref="F30:G30"/>
    <mergeCell ref="A31:C31"/>
    <mergeCell ref="B32:C32"/>
    <mergeCell ref="A37:B37"/>
    <mergeCell ref="E37:H41"/>
  </mergeCells>
  <conditionalFormatting sqref="L12 U12:V13 Y12:AD13 AF12:AG13 O13 Q9:S11 AK9:AK13 AM9:AX13 T9:T13 AZ9:HH13 O9:O11 I9:I13 E11:H11 B11:C11 A11:A13 A9 E12:E13 B13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&amp;L&amp;A&amp;RPágina &amp;P de &amp;N</oddFooter>
  </headerFooter>
  <colBreaks count="1" manualBreakCount="1">
    <brk id="8" min="8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zoomScaleNormal="100" zoomScaleSheetLayoutView="100" workbookViewId="0">
      <selection activeCell="O14" sqref="O14"/>
    </sheetView>
  </sheetViews>
  <sheetFormatPr defaultRowHeight="12.75"/>
  <cols>
    <col min="1" max="1" width="8.85546875" style="87" customWidth="1"/>
    <col min="2" max="2" width="14.140625" style="87" customWidth="1"/>
    <col min="3" max="3" width="16.5703125" style="87" customWidth="1"/>
    <col min="4" max="4" width="55.7109375" style="87" customWidth="1"/>
    <col min="5" max="5" width="10.5703125" style="87" customWidth="1"/>
    <col min="6" max="6" width="6" style="87" customWidth="1"/>
    <col min="7" max="7" width="10" style="87" customWidth="1"/>
    <col min="8" max="8" width="13.42578125" style="87" customWidth="1"/>
    <col min="9" max="9" width="10" style="87" customWidth="1"/>
    <col min="10" max="10" width="13.42578125" style="87" customWidth="1"/>
    <col min="11" max="16384" width="9.140625" style="87"/>
  </cols>
  <sheetData>
    <row r="1" spans="1:13" ht="25.15" customHeight="1">
      <c r="A1" s="823" t="s">
        <v>813</v>
      </c>
      <c r="B1" s="823"/>
      <c r="C1" s="823"/>
      <c r="D1" s="823"/>
      <c r="E1" s="23"/>
      <c r="F1" s="6"/>
      <c r="G1" s="591"/>
      <c r="H1" s="591"/>
      <c r="I1" s="591"/>
    </row>
    <row r="2" spans="1:13" ht="20.45" customHeight="1">
      <c r="A2" s="632"/>
      <c r="B2" s="632"/>
      <c r="C2" s="632"/>
      <c r="D2" s="632"/>
      <c r="E2" s="280"/>
      <c r="F2" s="281"/>
      <c r="G2" s="591"/>
      <c r="H2" s="591"/>
      <c r="I2" s="591"/>
    </row>
    <row r="3" spans="1:13" ht="15.6" customHeight="1">
      <c r="A3" s="634"/>
      <c r="B3" s="634"/>
      <c r="C3" s="634"/>
      <c r="D3" s="634"/>
      <c r="E3" s="634"/>
      <c r="F3" s="6"/>
      <c r="G3" s="591"/>
      <c r="H3" s="591"/>
      <c r="I3" s="591"/>
    </row>
    <row r="4" spans="1:13" ht="15.75">
      <c r="A4" s="28" t="s">
        <v>5</v>
      </c>
      <c r="B4" s="28"/>
      <c r="C4" s="29"/>
      <c r="D4" s="30"/>
      <c r="E4" s="640" t="s">
        <v>7</v>
      </c>
      <c r="F4" s="640"/>
      <c r="G4" s="640"/>
      <c r="H4" s="591"/>
      <c r="I4" s="591"/>
    </row>
    <row r="5" spans="1:13" ht="20.45" customHeight="1">
      <c r="A5" s="636" t="str">
        <f>SERVIÇOS!A5</f>
        <v>Construção da Coordenadoria de Tecnologias Educacionais da SEAD</v>
      </c>
      <c r="B5" s="636"/>
      <c r="C5" s="636"/>
      <c r="D5" s="636"/>
      <c r="E5" s="637" t="str">
        <f>SERVIÇOS!D5</f>
        <v>SETEMBRO/2017</v>
      </c>
      <c r="F5" s="637"/>
      <c r="G5" s="637"/>
      <c r="H5" s="591"/>
      <c r="I5" s="591"/>
    </row>
    <row r="6" spans="1:13" ht="15.6" customHeight="1">
      <c r="A6" s="639" t="s">
        <v>6</v>
      </c>
      <c r="B6" s="639"/>
      <c r="C6" s="639"/>
      <c r="D6" s="49"/>
      <c r="E6" s="640" t="s">
        <v>9</v>
      </c>
      <c r="F6" s="640"/>
      <c r="G6" s="640"/>
      <c r="H6" s="591"/>
      <c r="I6" s="591"/>
    </row>
    <row r="7" spans="1:13" ht="15.75">
      <c r="A7" s="572" t="str">
        <f>SERVIÇOS!A7</f>
        <v>Campus da Federação Universidade Federal da Bahia, Salvador - Bahia</v>
      </c>
      <c r="B7" s="572"/>
      <c r="C7" s="572"/>
      <c r="D7" s="335"/>
      <c r="E7" s="628">
        <f>SERVIÇOS!D7</f>
        <v>97.449999999999989</v>
      </c>
      <c r="F7" s="628"/>
      <c r="G7" s="628"/>
      <c r="H7" s="591"/>
      <c r="I7" s="591"/>
    </row>
    <row r="8" spans="1:13" ht="13.5" thickBot="1"/>
    <row r="9" spans="1:13" ht="40.5" customHeight="1" thickBot="1">
      <c r="A9" s="800" t="s">
        <v>103</v>
      </c>
      <c r="B9" s="801"/>
      <c r="C9" s="801"/>
      <c r="D9" s="801"/>
      <c r="E9" s="801"/>
      <c r="F9" s="801"/>
      <c r="G9" s="801"/>
      <c r="H9" s="801"/>
      <c r="I9" s="801"/>
      <c r="J9" s="802"/>
      <c r="K9" s="278"/>
      <c r="L9" s="278"/>
      <c r="M9" s="278"/>
    </row>
    <row r="10" spans="1:13" ht="16.5" thickBot="1">
      <c r="A10" s="803" t="s">
        <v>104</v>
      </c>
      <c r="B10" s="804"/>
      <c r="C10" s="804"/>
      <c r="D10" s="804"/>
      <c r="E10" s="804"/>
      <c r="F10" s="804"/>
      <c r="G10" s="804"/>
      <c r="H10" s="804"/>
      <c r="I10" s="804"/>
      <c r="J10" s="805"/>
    </row>
    <row r="11" spans="1:13" ht="13.5" customHeight="1" thickBot="1">
      <c r="A11" s="806" t="s">
        <v>105</v>
      </c>
      <c r="B11" s="807"/>
      <c r="C11" s="812" t="s">
        <v>3</v>
      </c>
      <c r="D11" s="813"/>
      <c r="E11" s="813"/>
      <c r="F11" s="813"/>
      <c r="G11" s="818" t="s">
        <v>106</v>
      </c>
      <c r="H11" s="819"/>
      <c r="I11" s="818" t="s">
        <v>107</v>
      </c>
      <c r="J11" s="820"/>
    </row>
    <row r="12" spans="1:13" ht="12.75" customHeight="1">
      <c r="A12" s="808"/>
      <c r="B12" s="809"/>
      <c r="C12" s="814"/>
      <c r="D12" s="815"/>
      <c r="E12" s="815"/>
      <c r="F12" s="815"/>
      <c r="G12" s="821" t="s">
        <v>108</v>
      </c>
      <c r="H12" s="821" t="s">
        <v>109</v>
      </c>
      <c r="I12" s="821" t="s">
        <v>108</v>
      </c>
      <c r="J12" s="821" t="s">
        <v>109</v>
      </c>
    </row>
    <row r="13" spans="1:13" ht="13.5" customHeight="1" thickBot="1">
      <c r="A13" s="810"/>
      <c r="B13" s="811"/>
      <c r="C13" s="816"/>
      <c r="D13" s="817"/>
      <c r="E13" s="817"/>
      <c r="F13" s="817"/>
      <c r="G13" s="822"/>
      <c r="H13" s="822"/>
      <c r="I13" s="822"/>
      <c r="J13" s="822"/>
    </row>
    <row r="14" spans="1:13" ht="16.5" thickBot="1">
      <c r="A14" s="785" t="s">
        <v>110</v>
      </c>
      <c r="B14" s="786"/>
      <c r="C14" s="786"/>
      <c r="D14" s="786"/>
      <c r="E14" s="786"/>
      <c r="F14" s="786"/>
      <c r="G14" s="786"/>
      <c r="H14" s="786"/>
      <c r="I14" s="786"/>
      <c r="J14" s="787"/>
    </row>
    <row r="15" spans="1:13">
      <c r="A15" s="788" t="s">
        <v>59</v>
      </c>
      <c r="B15" s="789"/>
      <c r="C15" s="790" t="s">
        <v>111</v>
      </c>
      <c r="D15" s="790"/>
      <c r="E15" s="790"/>
      <c r="F15" s="790"/>
      <c r="G15" s="290">
        <v>0</v>
      </c>
      <c r="H15" s="290">
        <v>0</v>
      </c>
      <c r="I15" s="290">
        <v>20</v>
      </c>
      <c r="J15" s="291">
        <v>20</v>
      </c>
      <c r="K15" s="279"/>
    </row>
    <row r="16" spans="1:13">
      <c r="A16" s="796" t="s">
        <v>61</v>
      </c>
      <c r="B16" s="797"/>
      <c r="C16" s="798" t="s">
        <v>112</v>
      </c>
      <c r="D16" s="798"/>
      <c r="E16" s="798"/>
      <c r="F16" s="798"/>
      <c r="G16" s="292">
        <v>1.5</v>
      </c>
      <c r="H16" s="292">
        <v>1.5</v>
      </c>
      <c r="I16" s="292">
        <v>1.5</v>
      </c>
      <c r="J16" s="293">
        <v>1.5</v>
      </c>
      <c r="K16" s="279"/>
    </row>
    <row r="17" spans="1:11">
      <c r="A17" s="796" t="s">
        <v>63</v>
      </c>
      <c r="B17" s="797"/>
      <c r="C17" s="798" t="s">
        <v>113</v>
      </c>
      <c r="D17" s="798"/>
      <c r="E17" s="798"/>
      <c r="F17" s="798"/>
      <c r="G17" s="292">
        <v>1</v>
      </c>
      <c r="H17" s="292">
        <v>1</v>
      </c>
      <c r="I17" s="292">
        <v>1</v>
      </c>
      <c r="J17" s="293">
        <v>1</v>
      </c>
      <c r="K17" s="279"/>
    </row>
    <row r="18" spans="1:11">
      <c r="A18" s="796" t="s">
        <v>65</v>
      </c>
      <c r="B18" s="797"/>
      <c r="C18" s="798" t="s">
        <v>114</v>
      </c>
      <c r="D18" s="798"/>
      <c r="E18" s="798"/>
      <c r="F18" s="798"/>
      <c r="G18" s="292">
        <v>0.2</v>
      </c>
      <c r="H18" s="292">
        <v>0.2</v>
      </c>
      <c r="I18" s="292">
        <v>0.2</v>
      </c>
      <c r="J18" s="293">
        <v>0.2</v>
      </c>
      <c r="K18" s="279"/>
    </row>
    <row r="19" spans="1:11">
      <c r="A19" s="796" t="s">
        <v>115</v>
      </c>
      <c r="B19" s="797"/>
      <c r="C19" s="798" t="s">
        <v>116</v>
      </c>
      <c r="D19" s="798"/>
      <c r="E19" s="798"/>
      <c r="F19" s="798"/>
      <c r="G19" s="292">
        <v>0.6</v>
      </c>
      <c r="H19" s="292">
        <v>0.6</v>
      </c>
      <c r="I19" s="292">
        <v>0.6</v>
      </c>
      <c r="J19" s="293">
        <v>0.6</v>
      </c>
      <c r="K19" s="279"/>
    </row>
    <row r="20" spans="1:11">
      <c r="A20" s="796" t="s">
        <v>117</v>
      </c>
      <c r="B20" s="797"/>
      <c r="C20" s="798" t="s">
        <v>118</v>
      </c>
      <c r="D20" s="798"/>
      <c r="E20" s="798"/>
      <c r="F20" s="798"/>
      <c r="G20" s="292">
        <v>2.5</v>
      </c>
      <c r="H20" s="292">
        <v>2.5</v>
      </c>
      <c r="I20" s="292">
        <v>2.5</v>
      </c>
      <c r="J20" s="293">
        <v>2.5</v>
      </c>
      <c r="K20" s="279"/>
    </row>
    <row r="21" spans="1:11">
      <c r="A21" s="796" t="s">
        <v>119</v>
      </c>
      <c r="B21" s="797"/>
      <c r="C21" s="798" t="s">
        <v>120</v>
      </c>
      <c r="D21" s="798"/>
      <c r="E21" s="798"/>
      <c r="F21" s="798"/>
      <c r="G21" s="292">
        <v>3</v>
      </c>
      <c r="H21" s="292">
        <v>3</v>
      </c>
      <c r="I21" s="292">
        <v>3</v>
      </c>
      <c r="J21" s="293">
        <v>3</v>
      </c>
      <c r="K21" s="279"/>
    </row>
    <row r="22" spans="1:11">
      <c r="A22" s="796" t="s">
        <v>121</v>
      </c>
      <c r="B22" s="797"/>
      <c r="C22" s="798" t="s">
        <v>122</v>
      </c>
      <c r="D22" s="798"/>
      <c r="E22" s="798"/>
      <c r="F22" s="798"/>
      <c r="G22" s="292">
        <v>8</v>
      </c>
      <c r="H22" s="292">
        <v>8</v>
      </c>
      <c r="I22" s="292">
        <v>8</v>
      </c>
      <c r="J22" s="293">
        <v>8</v>
      </c>
      <c r="K22" s="279"/>
    </row>
    <row r="23" spans="1:11" ht="13.5" thickBot="1">
      <c r="A23" s="791" t="s">
        <v>123</v>
      </c>
      <c r="B23" s="792"/>
      <c r="C23" s="799" t="s">
        <v>124</v>
      </c>
      <c r="D23" s="799"/>
      <c r="E23" s="799"/>
      <c r="F23" s="799"/>
      <c r="G23" s="294">
        <v>0</v>
      </c>
      <c r="H23" s="294">
        <v>0</v>
      </c>
      <c r="I23" s="294">
        <v>0</v>
      </c>
      <c r="J23" s="295">
        <v>0</v>
      </c>
      <c r="K23" s="279"/>
    </row>
    <row r="24" spans="1:11" ht="16.5" thickBot="1">
      <c r="A24" s="794" t="s">
        <v>125</v>
      </c>
      <c r="B24" s="795"/>
      <c r="C24" s="795" t="s">
        <v>15</v>
      </c>
      <c r="D24" s="795"/>
      <c r="E24" s="795"/>
      <c r="F24" s="795"/>
      <c r="G24" s="296">
        <f>SUM(G15:G23)</f>
        <v>16.8</v>
      </c>
      <c r="H24" s="296">
        <f>SUM(H15:H23)</f>
        <v>16.8</v>
      </c>
      <c r="I24" s="296">
        <f>SUM(I15:I23)</f>
        <v>36.799999999999997</v>
      </c>
      <c r="J24" s="297">
        <f>SUM(J15:J23)</f>
        <v>36.799999999999997</v>
      </c>
      <c r="K24" s="279"/>
    </row>
    <row r="25" spans="1:11" ht="16.5" thickBot="1">
      <c r="A25" s="785" t="s">
        <v>126</v>
      </c>
      <c r="B25" s="786"/>
      <c r="C25" s="786"/>
      <c r="D25" s="786"/>
      <c r="E25" s="786"/>
      <c r="F25" s="786"/>
      <c r="G25" s="786"/>
      <c r="H25" s="786"/>
      <c r="I25" s="786"/>
      <c r="J25" s="787"/>
      <c r="K25" s="279"/>
    </row>
    <row r="26" spans="1:11">
      <c r="A26" s="788" t="s">
        <v>96</v>
      </c>
      <c r="B26" s="789"/>
      <c r="C26" s="790" t="s">
        <v>127</v>
      </c>
      <c r="D26" s="790"/>
      <c r="E26" s="790"/>
      <c r="F26" s="790"/>
      <c r="G26" s="290">
        <v>17.989999999999998</v>
      </c>
      <c r="H26" s="290">
        <v>0</v>
      </c>
      <c r="I26" s="290">
        <v>17.989999999999998</v>
      </c>
      <c r="J26" s="291">
        <v>0</v>
      </c>
      <c r="K26" s="279"/>
    </row>
    <row r="27" spans="1:11">
      <c r="A27" s="796" t="s">
        <v>128</v>
      </c>
      <c r="B27" s="797"/>
      <c r="C27" s="798" t="s">
        <v>129</v>
      </c>
      <c r="D27" s="798"/>
      <c r="E27" s="798"/>
      <c r="F27" s="798"/>
      <c r="G27" s="292">
        <v>3.97</v>
      </c>
      <c r="H27" s="292">
        <v>0</v>
      </c>
      <c r="I27" s="292">
        <v>3.97</v>
      </c>
      <c r="J27" s="293">
        <v>0</v>
      </c>
      <c r="K27" s="279"/>
    </row>
    <row r="28" spans="1:11">
      <c r="A28" s="796" t="s">
        <v>130</v>
      </c>
      <c r="B28" s="797"/>
      <c r="C28" s="798" t="s">
        <v>131</v>
      </c>
      <c r="D28" s="798"/>
      <c r="E28" s="798"/>
      <c r="F28" s="798"/>
      <c r="G28" s="292">
        <v>0.92</v>
      </c>
      <c r="H28" s="292">
        <v>0.69</v>
      </c>
      <c r="I28" s="292">
        <v>0.92</v>
      </c>
      <c r="J28" s="293">
        <v>0.69</v>
      </c>
      <c r="K28" s="279"/>
    </row>
    <row r="29" spans="1:11">
      <c r="A29" s="796" t="s">
        <v>132</v>
      </c>
      <c r="B29" s="797"/>
      <c r="C29" s="798" t="s">
        <v>133</v>
      </c>
      <c r="D29" s="798"/>
      <c r="E29" s="798"/>
      <c r="F29" s="798"/>
      <c r="G29" s="292">
        <v>11.02</v>
      </c>
      <c r="H29" s="292">
        <v>8.33</v>
      </c>
      <c r="I29" s="292">
        <v>11.02</v>
      </c>
      <c r="J29" s="293">
        <v>8.33</v>
      </c>
      <c r="K29" s="279"/>
    </row>
    <row r="30" spans="1:11">
      <c r="A30" s="796" t="s">
        <v>134</v>
      </c>
      <c r="B30" s="797"/>
      <c r="C30" s="798" t="s">
        <v>135</v>
      </c>
      <c r="D30" s="798"/>
      <c r="E30" s="798"/>
      <c r="F30" s="798"/>
      <c r="G30" s="292">
        <v>0.08</v>
      </c>
      <c r="H30" s="292">
        <v>0.06</v>
      </c>
      <c r="I30" s="292">
        <v>0.08</v>
      </c>
      <c r="J30" s="293">
        <v>0.06</v>
      </c>
      <c r="K30" s="279"/>
    </row>
    <row r="31" spans="1:11">
      <c r="A31" s="796" t="s">
        <v>136</v>
      </c>
      <c r="B31" s="797"/>
      <c r="C31" s="798" t="s">
        <v>137</v>
      </c>
      <c r="D31" s="798"/>
      <c r="E31" s="798"/>
      <c r="F31" s="798"/>
      <c r="G31" s="292">
        <v>0.73</v>
      </c>
      <c r="H31" s="292">
        <v>0.56000000000000005</v>
      </c>
      <c r="I31" s="292">
        <v>0.73</v>
      </c>
      <c r="J31" s="293">
        <v>0.56000000000000005</v>
      </c>
      <c r="K31" s="279"/>
    </row>
    <row r="32" spans="1:11">
      <c r="A32" s="796" t="s">
        <v>138</v>
      </c>
      <c r="B32" s="797"/>
      <c r="C32" s="798" t="s">
        <v>139</v>
      </c>
      <c r="D32" s="798"/>
      <c r="E32" s="798"/>
      <c r="F32" s="798"/>
      <c r="G32" s="292">
        <v>2.0699999999999998</v>
      </c>
      <c r="H32" s="292">
        <v>0</v>
      </c>
      <c r="I32" s="292">
        <v>2.0699999999999998</v>
      </c>
      <c r="J32" s="293">
        <v>0</v>
      </c>
      <c r="K32" s="279"/>
    </row>
    <row r="33" spans="1:11">
      <c r="A33" s="796" t="s">
        <v>140</v>
      </c>
      <c r="B33" s="797"/>
      <c r="C33" s="798" t="s">
        <v>141</v>
      </c>
      <c r="D33" s="798"/>
      <c r="E33" s="798"/>
      <c r="F33" s="798"/>
      <c r="G33" s="292">
        <v>0.12</v>
      </c>
      <c r="H33" s="292">
        <v>0.09</v>
      </c>
      <c r="I33" s="292">
        <v>0.12</v>
      </c>
      <c r="J33" s="293">
        <v>0.09</v>
      </c>
      <c r="K33" s="279"/>
    </row>
    <row r="34" spans="1:11">
      <c r="A34" s="796" t="s">
        <v>142</v>
      </c>
      <c r="B34" s="797"/>
      <c r="C34" s="798" t="s">
        <v>143</v>
      </c>
      <c r="D34" s="798"/>
      <c r="E34" s="798"/>
      <c r="F34" s="798"/>
      <c r="G34" s="292">
        <v>11.03</v>
      </c>
      <c r="H34" s="292">
        <v>8.34</v>
      </c>
      <c r="I34" s="292">
        <v>11.03</v>
      </c>
      <c r="J34" s="293">
        <v>8.34</v>
      </c>
      <c r="K34" s="279"/>
    </row>
    <row r="35" spans="1:11" ht="13.5" thickBot="1">
      <c r="A35" s="791" t="s">
        <v>144</v>
      </c>
      <c r="B35" s="792"/>
      <c r="C35" s="799" t="s">
        <v>145</v>
      </c>
      <c r="D35" s="799"/>
      <c r="E35" s="799"/>
      <c r="F35" s="799"/>
      <c r="G35" s="294">
        <v>0.03</v>
      </c>
      <c r="H35" s="294">
        <v>0.02</v>
      </c>
      <c r="I35" s="294">
        <v>0.03</v>
      </c>
      <c r="J35" s="295">
        <v>0.02</v>
      </c>
      <c r="K35" s="279"/>
    </row>
    <row r="36" spans="1:11" ht="16.5" thickBot="1">
      <c r="A36" s="794" t="s">
        <v>146</v>
      </c>
      <c r="B36" s="795"/>
      <c r="C36" s="795" t="s">
        <v>15</v>
      </c>
      <c r="D36" s="795"/>
      <c r="E36" s="795"/>
      <c r="F36" s="795"/>
      <c r="G36" s="296">
        <f>SUM(G26:G35)</f>
        <v>47.959999999999994</v>
      </c>
      <c r="H36" s="296">
        <f>SUM(H26:H35)</f>
        <v>18.09</v>
      </c>
      <c r="I36" s="296">
        <f>SUM(I26:I35)</f>
        <v>47.959999999999994</v>
      </c>
      <c r="J36" s="297">
        <f>SUM(J26:J35)</f>
        <v>18.09</v>
      </c>
      <c r="K36" s="279"/>
    </row>
    <row r="37" spans="1:11" ht="16.5" thickBot="1">
      <c r="A37" s="785" t="s">
        <v>147</v>
      </c>
      <c r="B37" s="786"/>
      <c r="C37" s="786"/>
      <c r="D37" s="786"/>
      <c r="E37" s="786"/>
      <c r="F37" s="786"/>
      <c r="G37" s="786"/>
      <c r="H37" s="786"/>
      <c r="I37" s="786"/>
      <c r="J37" s="787"/>
      <c r="K37" s="279"/>
    </row>
    <row r="38" spans="1:11">
      <c r="A38" s="788" t="s">
        <v>97</v>
      </c>
      <c r="B38" s="789"/>
      <c r="C38" s="790" t="s">
        <v>148</v>
      </c>
      <c r="D38" s="790"/>
      <c r="E38" s="790"/>
      <c r="F38" s="790"/>
      <c r="G38" s="298">
        <v>7.2</v>
      </c>
      <c r="H38" s="298">
        <v>5.44</v>
      </c>
      <c r="I38" s="298">
        <v>7.2</v>
      </c>
      <c r="J38" s="299">
        <v>5.44</v>
      </c>
      <c r="K38" s="279"/>
    </row>
    <row r="39" spans="1:11">
      <c r="A39" s="796" t="s">
        <v>98</v>
      </c>
      <c r="B39" s="797"/>
      <c r="C39" s="798" t="s">
        <v>149</v>
      </c>
      <c r="D39" s="798"/>
      <c r="E39" s="798"/>
      <c r="F39" s="798"/>
      <c r="G39" s="300">
        <v>0.17</v>
      </c>
      <c r="H39" s="300">
        <v>0.13</v>
      </c>
      <c r="I39" s="300">
        <v>0.17</v>
      </c>
      <c r="J39" s="301">
        <v>0.13</v>
      </c>
      <c r="K39" s="279"/>
    </row>
    <row r="40" spans="1:11">
      <c r="A40" s="796" t="s">
        <v>99</v>
      </c>
      <c r="B40" s="797"/>
      <c r="C40" s="798" t="s">
        <v>150</v>
      </c>
      <c r="D40" s="798"/>
      <c r="E40" s="798"/>
      <c r="F40" s="798"/>
      <c r="G40" s="300">
        <v>3.23</v>
      </c>
      <c r="H40" s="300">
        <v>2.44</v>
      </c>
      <c r="I40" s="300">
        <v>3.23</v>
      </c>
      <c r="J40" s="301">
        <v>2.44</v>
      </c>
      <c r="K40" s="279"/>
    </row>
    <row r="41" spans="1:11">
      <c r="A41" s="796" t="s">
        <v>100</v>
      </c>
      <c r="B41" s="797"/>
      <c r="C41" s="798" t="s">
        <v>167</v>
      </c>
      <c r="D41" s="798"/>
      <c r="E41" s="798"/>
      <c r="F41" s="798"/>
      <c r="G41" s="300">
        <v>5.23</v>
      </c>
      <c r="H41" s="300">
        <v>3.96</v>
      </c>
      <c r="I41" s="300">
        <v>5.23</v>
      </c>
      <c r="J41" s="301">
        <v>3.96</v>
      </c>
      <c r="K41" s="279"/>
    </row>
    <row r="42" spans="1:11" ht="13.5" thickBot="1">
      <c r="A42" s="791" t="s">
        <v>151</v>
      </c>
      <c r="B42" s="792"/>
      <c r="C42" s="799" t="s">
        <v>152</v>
      </c>
      <c r="D42" s="799"/>
      <c r="E42" s="799"/>
      <c r="F42" s="799"/>
      <c r="G42" s="302">
        <v>0.61</v>
      </c>
      <c r="H42" s="302">
        <v>0.46</v>
      </c>
      <c r="I42" s="302">
        <v>0.61</v>
      </c>
      <c r="J42" s="303">
        <v>0.46</v>
      </c>
      <c r="K42" s="279"/>
    </row>
    <row r="43" spans="1:11" ht="16.5" thickBot="1">
      <c r="A43" s="794" t="s">
        <v>153</v>
      </c>
      <c r="B43" s="795"/>
      <c r="C43" s="795" t="s">
        <v>15</v>
      </c>
      <c r="D43" s="795"/>
      <c r="E43" s="795"/>
      <c r="F43" s="795"/>
      <c r="G43" s="304">
        <f>SUM(G38:G42)</f>
        <v>16.440000000000001</v>
      </c>
      <c r="H43" s="304">
        <f>SUM(H38:H42)</f>
        <v>12.43</v>
      </c>
      <c r="I43" s="304">
        <f>SUM(I38:I42)</f>
        <v>16.440000000000001</v>
      </c>
      <c r="J43" s="305">
        <f>SUM(J38:J42)</f>
        <v>12.43</v>
      </c>
    </row>
    <row r="44" spans="1:11" ht="16.5" thickBot="1">
      <c r="A44" s="785" t="s">
        <v>154</v>
      </c>
      <c r="B44" s="786"/>
      <c r="C44" s="786"/>
      <c r="D44" s="786"/>
      <c r="E44" s="786"/>
      <c r="F44" s="786"/>
      <c r="G44" s="786"/>
      <c r="H44" s="786"/>
      <c r="I44" s="786"/>
      <c r="J44" s="787"/>
    </row>
    <row r="45" spans="1:11">
      <c r="A45" s="788" t="s">
        <v>155</v>
      </c>
      <c r="B45" s="789"/>
      <c r="C45" s="790" t="s">
        <v>156</v>
      </c>
      <c r="D45" s="790"/>
      <c r="E45" s="790"/>
      <c r="F45" s="790"/>
      <c r="G45" s="298">
        <v>8.06</v>
      </c>
      <c r="H45" s="298">
        <v>3.04</v>
      </c>
      <c r="I45" s="298">
        <v>17.649999999999999</v>
      </c>
      <c r="J45" s="299">
        <v>6.66</v>
      </c>
    </row>
    <row r="46" spans="1:11" ht="44.25" customHeight="1" thickBot="1">
      <c r="A46" s="791" t="s">
        <v>157</v>
      </c>
      <c r="B46" s="792"/>
      <c r="C46" s="793" t="s">
        <v>158</v>
      </c>
      <c r="D46" s="793"/>
      <c r="E46" s="793"/>
      <c r="F46" s="793"/>
      <c r="G46" s="302">
        <v>0.6</v>
      </c>
      <c r="H46" s="302">
        <v>0.46</v>
      </c>
      <c r="I46" s="302">
        <v>0.64</v>
      </c>
      <c r="J46" s="303">
        <v>0.48</v>
      </c>
    </row>
    <row r="47" spans="1:11" ht="16.5" thickBot="1">
      <c r="A47" s="794" t="s">
        <v>159</v>
      </c>
      <c r="B47" s="795"/>
      <c r="C47" s="795" t="s">
        <v>15</v>
      </c>
      <c r="D47" s="795"/>
      <c r="E47" s="795"/>
      <c r="F47" s="795"/>
      <c r="G47" s="304">
        <f>SUM(G45:G46)</f>
        <v>8.66</v>
      </c>
      <c r="H47" s="304">
        <f>SUM(H45:H46)</f>
        <v>3.5</v>
      </c>
      <c r="I47" s="304">
        <f>SUM(I45:I46)</f>
        <v>18.29</v>
      </c>
      <c r="J47" s="305">
        <f>SUM(J45:J46)</f>
        <v>7.1400000000000006</v>
      </c>
    </row>
    <row r="48" spans="1:11" ht="16.5" thickBot="1">
      <c r="A48" s="306"/>
      <c r="B48" s="307"/>
      <c r="C48" s="307"/>
      <c r="D48" s="307"/>
      <c r="E48" s="307"/>
      <c r="F48" s="307"/>
      <c r="G48" s="308"/>
      <c r="H48" s="308"/>
      <c r="I48" s="308"/>
      <c r="J48" s="309"/>
    </row>
    <row r="49" spans="1:10" ht="16.5" thickBot="1">
      <c r="A49" s="783"/>
      <c r="B49" s="784"/>
      <c r="C49" s="784" t="s">
        <v>160</v>
      </c>
      <c r="D49" s="784"/>
      <c r="E49" s="784"/>
      <c r="F49" s="784"/>
      <c r="G49" s="310">
        <f>G24+G36+G43+G47</f>
        <v>89.859999999999985</v>
      </c>
      <c r="H49" s="310">
        <f>H24+H36+H43+H47</f>
        <v>50.82</v>
      </c>
      <c r="I49" s="310">
        <f>I24+I36+I43+I47</f>
        <v>119.48999999999998</v>
      </c>
      <c r="J49" s="311">
        <f>J24+J36+J43+J47</f>
        <v>74.459999999999994</v>
      </c>
    </row>
    <row r="62" spans="1:10">
      <c r="B62" s="87" t="s">
        <v>16</v>
      </c>
    </row>
  </sheetData>
  <mergeCells count="85">
    <mergeCell ref="A6:C6"/>
    <mergeCell ref="E4:G4"/>
    <mergeCell ref="E5:G5"/>
    <mergeCell ref="E6:G6"/>
    <mergeCell ref="E7:G7"/>
    <mergeCell ref="A1:D1"/>
    <mergeCell ref="A2:D2"/>
    <mergeCell ref="A3:E3"/>
    <mergeCell ref="A5:D5"/>
    <mergeCell ref="A9:J9"/>
    <mergeCell ref="A10:J10"/>
    <mergeCell ref="A11:B13"/>
    <mergeCell ref="C11:F13"/>
    <mergeCell ref="G11:H11"/>
    <mergeCell ref="I11:J11"/>
    <mergeCell ref="G12:G13"/>
    <mergeCell ref="H12:H13"/>
    <mergeCell ref="I12:I13"/>
    <mergeCell ref="J12:J13"/>
    <mergeCell ref="A14:J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J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37:J37"/>
    <mergeCell ref="A38:B38"/>
    <mergeCell ref="C38:F38"/>
    <mergeCell ref="A39:B39"/>
    <mergeCell ref="C39:F39"/>
    <mergeCell ref="A40:B40"/>
    <mergeCell ref="C40:F40"/>
    <mergeCell ref="A41:B41"/>
    <mergeCell ref="C41:F41"/>
    <mergeCell ref="A42:B42"/>
    <mergeCell ref="C42:F42"/>
    <mergeCell ref="A43:B43"/>
    <mergeCell ref="C43:F43"/>
    <mergeCell ref="A49:B49"/>
    <mergeCell ref="C49:F49"/>
    <mergeCell ref="A44:J44"/>
    <mergeCell ref="A45:B45"/>
    <mergeCell ref="C45:F45"/>
    <mergeCell ref="A46:B46"/>
    <mergeCell ref="C46:F46"/>
    <mergeCell ref="A47:B47"/>
    <mergeCell ref="C47:F4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workbookViewId="0">
      <selection activeCell="A34" sqref="A34"/>
    </sheetView>
  </sheetViews>
  <sheetFormatPr defaultRowHeight="12.75"/>
  <cols>
    <col min="1" max="1" width="47" bestFit="1" customWidth="1"/>
    <col min="2" max="2" width="15" bestFit="1" customWidth="1"/>
    <col min="3" max="3" width="7.28515625" bestFit="1" customWidth="1"/>
    <col min="4" max="4" width="10.85546875" bestFit="1" customWidth="1"/>
    <col min="5" max="5" width="11.7109375" bestFit="1" customWidth="1"/>
    <col min="6" max="6" width="8.42578125" bestFit="1" customWidth="1"/>
  </cols>
  <sheetData>
    <row r="3" spans="1:5">
      <c r="A3" t="s">
        <v>428</v>
      </c>
    </row>
    <row r="10" spans="1:5">
      <c r="A10" s="459" t="s">
        <v>429</v>
      </c>
    </row>
    <row r="12" spans="1:5">
      <c r="B12" s="460" t="s">
        <v>402</v>
      </c>
      <c r="C12" s="461" t="s">
        <v>430</v>
      </c>
      <c r="D12" s="462" t="s">
        <v>431</v>
      </c>
      <c r="E12" s="462" t="s">
        <v>432</v>
      </c>
    </row>
    <row r="13" spans="1:5">
      <c r="A13" s="463" t="s">
        <v>401</v>
      </c>
      <c r="B13">
        <v>0.9</v>
      </c>
      <c r="C13">
        <v>1</v>
      </c>
      <c r="D13">
        <f t="shared" ref="D13:D20" si="0">(0.1+B13+0.1)*C13</f>
        <v>1.1000000000000001</v>
      </c>
      <c r="E13">
        <f t="shared" ref="E13:E20" si="1">(0.06+B13+0.06)</f>
        <v>1.02</v>
      </c>
    </row>
    <row r="14" spans="1:5">
      <c r="A14" s="463" t="s">
        <v>433</v>
      </c>
      <c r="B14">
        <v>0.9</v>
      </c>
      <c r="C14">
        <v>2</v>
      </c>
      <c r="D14">
        <f t="shared" si="0"/>
        <v>2.2000000000000002</v>
      </c>
      <c r="E14">
        <f t="shared" si="1"/>
        <v>1.02</v>
      </c>
    </row>
    <row r="15" spans="1:5">
      <c r="A15" s="463" t="s">
        <v>434</v>
      </c>
      <c r="B15">
        <v>1.3</v>
      </c>
      <c r="C15">
        <v>1</v>
      </c>
      <c r="D15">
        <f t="shared" si="0"/>
        <v>1.5000000000000002</v>
      </c>
      <c r="E15">
        <f t="shared" si="1"/>
        <v>1.4200000000000002</v>
      </c>
    </row>
    <row r="16" spans="1:5">
      <c r="A16" s="463" t="s">
        <v>435</v>
      </c>
      <c r="B16">
        <v>1.3</v>
      </c>
      <c r="C16">
        <v>1</v>
      </c>
      <c r="D16">
        <f t="shared" si="0"/>
        <v>1.5000000000000002</v>
      </c>
      <c r="E16">
        <f t="shared" si="1"/>
        <v>1.4200000000000002</v>
      </c>
    </row>
    <row r="17" spans="1:7">
      <c r="A17" s="463" t="s">
        <v>436</v>
      </c>
      <c r="B17">
        <v>1.3</v>
      </c>
      <c r="C17">
        <v>1</v>
      </c>
      <c r="D17">
        <f t="shared" si="0"/>
        <v>1.5000000000000002</v>
      </c>
      <c r="E17">
        <f t="shared" si="1"/>
        <v>1.4200000000000002</v>
      </c>
    </row>
    <row r="18" spans="1:7">
      <c r="A18" s="463" t="s">
        <v>437</v>
      </c>
      <c r="B18">
        <v>1.5</v>
      </c>
      <c r="C18">
        <v>1</v>
      </c>
      <c r="D18">
        <f t="shared" si="0"/>
        <v>1.7000000000000002</v>
      </c>
      <c r="E18">
        <f t="shared" si="1"/>
        <v>1.62</v>
      </c>
    </row>
    <row r="19" spans="1:7">
      <c r="A19" s="463" t="s">
        <v>438</v>
      </c>
      <c r="B19">
        <v>1.3</v>
      </c>
      <c r="C19">
        <v>1</v>
      </c>
      <c r="D19">
        <f t="shared" si="0"/>
        <v>1.5000000000000002</v>
      </c>
      <c r="E19">
        <f t="shared" si="1"/>
        <v>1.4200000000000002</v>
      </c>
    </row>
    <row r="20" spans="1:7">
      <c r="A20" s="463" t="s">
        <v>439</v>
      </c>
      <c r="B20">
        <v>0.9</v>
      </c>
      <c r="C20">
        <v>2</v>
      </c>
      <c r="D20">
        <f t="shared" si="0"/>
        <v>2.2000000000000002</v>
      </c>
      <c r="E20">
        <f t="shared" si="1"/>
        <v>1.02</v>
      </c>
    </row>
    <row r="21" spans="1:7">
      <c r="A21" s="462"/>
    </row>
    <row r="22" spans="1:7">
      <c r="A22" s="462"/>
      <c r="D22" s="464">
        <f>SUM(D13:D21)</f>
        <v>13.2</v>
      </c>
      <c r="E22" s="464">
        <f>SUM(E13:E21)</f>
        <v>10.36</v>
      </c>
    </row>
    <row r="23" spans="1:7">
      <c r="A23" s="462"/>
    </row>
    <row r="24" spans="1:7" ht="76.5">
      <c r="B24" s="460" t="s">
        <v>402</v>
      </c>
      <c r="C24" s="461" t="s">
        <v>430</v>
      </c>
      <c r="D24" s="462" t="s">
        <v>431</v>
      </c>
      <c r="E24" s="465" t="s">
        <v>440</v>
      </c>
      <c r="F24" s="465" t="s">
        <v>441</v>
      </c>
      <c r="G24" t="s">
        <v>445</v>
      </c>
    </row>
    <row r="25" spans="1:7">
      <c r="A25" s="463" t="s">
        <v>442</v>
      </c>
      <c r="B25">
        <v>1</v>
      </c>
      <c r="C25">
        <v>4</v>
      </c>
      <c r="D25">
        <f>(0.1+B25+0.1)*C25</f>
        <v>4.8000000000000007</v>
      </c>
      <c r="E25">
        <f>D25</f>
        <v>4.8000000000000007</v>
      </c>
      <c r="F25">
        <f>1*1.7*C25*0.15</f>
        <v>1.02</v>
      </c>
      <c r="G25">
        <f>(B25+0.06)*C25</f>
        <v>4.24</v>
      </c>
    </row>
    <row r="26" spans="1:7">
      <c r="A26" s="463" t="s">
        <v>443</v>
      </c>
      <c r="B26">
        <v>0.5</v>
      </c>
      <c r="C26">
        <v>1</v>
      </c>
      <c r="D26">
        <f>(0.1+B26+0.1)*C26</f>
        <v>0.7</v>
      </c>
      <c r="E26">
        <f>D26</f>
        <v>0.7</v>
      </c>
      <c r="F26">
        <f>0.5*1*C26*0.15</f>
        <v>7.4999999999999997E-2</v>
      </c>
      <c r="G26">
        <f>(B26+0.06)*C26</f>
        <v>0.56000000000000005</v>
      </c>
    </row>
    <row r="27" spans="1:7">
      <c r="A27" s="463" t="s">
        <v>444</v>
      </c>
      <c r="B27">
        <v>1.8</v>
      </c>
      <c r="C27">
        <v>1</v>
      </c>
      <c r="D27">
        <f>(0.1+B27+0.1)*C27</f>
        <v>2</v>
      </c>
      <c r="E27">
        <f>D27</f>
        <v>2</v>
      </c>
      <c r="F27">
        <f>1.8*1*C27*0.15</f>
        <v>0.27</v>
      </c>
    </row>
    <row r="29" spans="1:7">
      <c r="D29" s="464">
        <f>SUM(D25:D28)</f>
        <v>7.5000000000000009</v>
      </c>
      <c r="E29" s="464">
        <f>SUM(E25:E28)</f>
        <v>7.5000000000000009</v>
      </c>
      <c r="F29" s="464">
        <f>SUM(F25:F28)</f>
        <v>1.365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SERVIÇOS</vt:lpstr>
      <vt:lpstr>QUANTITATIVOS</vt:lpstr>
      <vt:lpstr>COMPOSIÇÕES</vt:lpstr>
      <vt:lpstr>CRONOGRAMA</vt:lpstr>
      <vt:lpstr>BDI OBRAS</vt:lpstr>
      <vt:lpstr>BDI EQUIPAMENTOS</vt:lpstr>
      <vt:lpstr>ENCARGOS SOCIAIS</vt:lpstr>
      <vt:lpstr>QUANTITATIVO CHAOUI </vt:lpstr>
      <vt:lpstr>'BDI EQUIPAMENTOS'!Area_de_impressao</vt:lpstr>
      <vt:lpstr>'BDI OBRAS'!Area_de_impressao</vt:lpstr>
      <vt:lpstr>CRONOGRAMA!Area_de_impressao</vt:lpstr>
      <vt:lpstr>'ENCARGOS SOCIAIS'!Area_de_impressao</vt:lpstr>
      <vt:lpstr>SERVIÇOS!Area_de_impressao</vt:lpstr>
      <vt:lpstr>SERVIÇOS!Titulos_de_impressao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Inácio Antonio Alves dos Santos</dc:creator>
  <cp:lastModifiedBy>fisouza</cp:lastModifiedBy>
  <cp:lastPrinted>2017-09-29T18:37:37Z</cp:lastPrinted>
  <dcterms:created xsi:type="dcterms:W3CDTF">2008-04-08T18:49:41Z</dcterms:created>
  <dcterms:modified xsi:type="dcterms:W3CDTF">2018-01-08T16:48:01Z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